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7" yWindow="32767" windowWidth="28800" windowHeight="12225" activeTab="0"/>
  </bookViews>
  <sheets>
    <sheet name="Result" sheetId="1" r:id="rId1"/>
    <sheet name="条件" sheetId="2" state="hidden" r:id="rId2"/>
    <sheet name="参数" sheetId="3" state="hidden" r:id="rId3"/>
    <sheet name="公式" sheetId="4" state="hidden" r:id="rId4"/>
  </sheets>
  <definedNames>
    <definedName name="_xlnm.Print_Area" localSheetId="3">'公式'!$A$1:$AI$50</definedName>
    <definedName name="_xlnm.Print_Area" localSheetId="1">'条件'!$A$1:$AC$65</definedName>
  </definedNames>
  <calcPr fullCalcOnLoad="1" refMode="R1C1"/>
</workbook>
</file>

<file path=xl/comments1.xml><?xml version="1.0" encoding="utf-8"?>
<comments xmlns="http://schemas.openxmlformats.org/spreadsheetml/2006/main">
  <authors>
    <author>株式会社前田製作所</author>
  </authors>
  <commentList>
    <comment ref="C12" authorId="0">
      <text>
        <r>
          <rPr>
            <b/>
            <sz val="10"/>
            <rFont val="ＭＳ Ｐゴシック"/>
            <family val="2"/>
          </rPr>
          <t xml:space="preserve">Input load including hook block weight </t>
        </r>
      </text>
    </comment>
    <comment ref="C4" authorId="0">
      <text>
        <r>
          <rPr>
            <b/>
            <sz val="10"/>
            <rFont val="ＭＳ Ｐゴシック"/>
            <family val="2"/>
          </rPr>
          <t>Select Model code from right box</t>
        </r>
      </text>
    </comment>
  </commentList>
</comments>
</file>

<file path=xl/comments3.xml><?xml version="1.0" encoding="utf-8"?>
<comments xmlns="http://schemas.openxmlformats.org/spreadsheetml/2006/main">
  <authors>
    <author>前田製作所</author>
  </authors>
  <commentList>
    <comment ref="B3" authorId="0">
      <text>
        <r>
          <rPr>
            <sz val="9"/>
            <rFont val="ＭＳ Ｐゴシック"/>
            <family val="2"/>
          </rPr>
          <t xml:space="preserve">ブーム重量
</t>
        </r>
      </text>
    </comment>
    <comment ref="C3" authorId="0">
      <text>
        <r>
          <rPr>
            <b/>
            <sz val="9"/>
            <rFont val="ＭＳ Ｐゴシック"/>
            <family val="2"/>
          </rPr>
          <t>ﾌｰﾄﾋﾟﾝ～ﾎﾟｲﾝﾄﾋﾟﾝ鉛直距離</t>
        </r>
      </text>
    </comment>
    <comment ref="D3" authorId="0">
      <text>
        <r>
          <rPr>
            <b/>
            <sz val="9"/>
            <rFont val="ＭＳ Ｐゴシック"/>
            <family val="2"/>
          </rPr>
          <t>上部旋回体重量
（ブーム以外）</t>
        </r>
      </text>
    </comment>
    <comment ref="E3" authorId="0">
      <text>
        <r>
          <rPr>
            <b/>
            <sz val="9"/>
            <rFont val="ＭＳ Ｐゴシック"/>
            <family val="2"/>
          </rPr>
          <t>上部旋回体（ブーム以外）重心～旋回中心</t>
        </r>
        <r>
          <rPr>
            <sz val="9"/>
            <rFont val="ＭＳ Ｐゴシック"/>
            <family val="2"/>
          </rPr>
          <t xml:space="preserve">
</t>
        </r>
      </text>
    </comment>
    <comment ref="F3" authorId="0">
      <text>
        <r>
          <rPr>
            <b/>
            <sz val="9"/>
            <rFont val="ＭＳ Ｐゴシック"/>
            <family val="2"/>
          </rPr>
          <t>ﾌｰﾄﾋﾟﾝ～旋回中心
水平距離</t>
        </r>
      </text>
    </comment>
    <comment ref="G3" authorId="0">
      <text>
        <r>
          <rPr>
            <b/>
            <sz val="9"/>
            <rFont val="ＭＳ Ｐゴシック"/>
            <family val="2"/>
          </rPr>
          <t>下部重量</t>
        </r>
      </text>
    </comment>
    <comment ref="H3" authorId="0">
      <text>
        <r>
          <rPr>
            <b/>
            <sz val="9"/>
            <rFont val="ＭＳ Ｐゴシック"/>
            <family val="2"/>
          </rPr>
          <t>下部重心～旋回中心</t>
        </r>
      </text>
    </comment>
    <comment ref="A17" authorId="0">
      <text>
        <r>
          <rPr>
            <b/>
            <sz val="9"/>
            <rFont val="ＭＳ Ｐゴシック"/>
            <family val="2"/>
          </rPr>
          <t>反ﾎﾟｽﾄ側ｱｳﾄﾘｶﾞ中心～旋回中心</t>
        </r>
      </text>
    </comment>
    <comment ref="A43" authorId="0">
      <text>
        <r>
          <rPr>
            <b/>
            <sz val="9"/>
            <rFont val="ＭＳ Ｐゴシック"/>
            <family val="2"/>
          </rPr>
          <t>ﾎﾟｽﾄ側ｱｳﾄﾘｶﾞ左右中心間距離</t>
        </r>
      </text>
    </comment>
    <comment ref="A56" authorId="0">
      <text>
        <r>
          <rPr>
            <b/>
            <sz val="9"/>
            <rFont val="ＭＳ Ｐゴシック"/>
            <family val="2"/>
          </rPr>
          <t>ブーム長さ</t>
        </r>
      </text>
    </comment>
    <comment ref="A30" authorId="0">
      <text>
        <r>
          <rPr>
            <b/>
            <sz val="9"/>
            <rFont val="ＭＳ Ｐゴシック"/>
            <family val="2"/>
          </rPr>
          <t>前後アウトリガ中心距離</t>
        </r>
      </text>
    </comment>
    <comment ref="H8" authorId="0">
      <text>
        <r>
          <rPr>
            <b/>
            <sz val="9"/>
            <rFont val="ＭＳ Ｐゴシック"/>
            <family val="2"/>
          </rPr>
          <t>12.7.23
計算・設定</t>
        </r>
        <r>
          <rPr>
            <sz val="9"/>
            <rFont val="ＭＳ Ｐゴシック"/>
            <family val="2"/>
          </rPr>
          <t xml:space="preserve">
</t>
        </r>
      </text>
    </comment>
    <comment ref="H9" authorId="0">
      <text>
        <r>
          <rPr>
            <b/>
            <sz val="9"/>
            <rFont val="ＭＳ Ｐゴシック"/>
            <family val="2"/>
          </rPr>
          <t>12.07.23
計算・設定</t>
        </r>
        <r>
          <rPr>
            <sz val="9"/>
            <rFont val="ＭＳ Ｐゴシック"/>
            <family val="2"/>
          </rPr>
          <t xml:space="preserve">
</t>
        </r>
      </text>
    </comment>
    <comment ref="A69" authorId="0">
      <text>
        <r>
          <rPr>
            <b/>
            <sz val="9"/>
            <rFont val="ＭＳ Ｐゴシック"/>
            <family val="2"/>
          </rPr>
          <t>ﾌﾞｰﾑ重心
（ﾌｰﾄﾋﾟﾝ基準）</t>
        </r>
      </text>
    </comment>
    <comment ref="H10" authorId="0">
      <text>
        <r>
          <rPr>
            <b/>
            <sz val="9"/>
            <rFont val="ＭＳ Ｐゴシック"/>
            <family val="2"/>
          </rPr>
          <t xml:space="preserve">12.7.23
計算・設定
</t>
        </r>
      </text>
    </comment>
    <comment ref="H11" authorId="0">
      <text>
        <r>
          <rPr>
            <b/>
            <sz val="9"/>
            <rFont val="ＭＳ Ｐゴシック"/>
            <family val="2"/>
          </rPr>
          <t xml:space="preserve">12.7.23
計算・設定
</t>
        </r>
      </text>
    </comment>
    <comment ref="H12" authorId="0">
      <text>
        <r>
          <rPr>
            <b/>
            <sz val="9"/>
            <rFont val="ＭＳ Ｐゴシック"/>
            <family val="2"/>
          </rPr>
          <t>12.7.23
計算・設定</t>
        </r>
        <r>
          <rPr>
            <sz val="9"/>
            <rFont val="ＭＳ Ｐゴシック"/>
            <family val="2"/>
          </rPr>
          <t xml:space="preserve">
</t>
        </r>
      </text>
    </comment>
    <comment ref="H13" authorId="0">
      <text>
        <r>
          <rPr>
            <b/>
            <sz val="9"/>
            <rFont val="ＭＳ Ｐゴシック"/>
            <family val="2"/>
          </rPr>
          <t>12.7.23
計算・設定</t>
        </r>
      </text>
    </comment>
  </commentList>
</comments>
</file>

<file path=xl/sharedStrings.xml><?xml version="1.0" encoding="utf-8"?>
<sst xmlns="http://schemas.openxmlformats.org/spreadsheetml/2006/main" count="421" uniqueCount="209">
  <si>
    <t>旋回角度</t>
  </si>
  <si>
    <t>L</t>
  </si>
  <si>
    <t>=</t>
  </si>
  <si>
    <t>m</t>
  </si>
  <si>
    <t>g</t>
  </si>
  <si>
    <t>D</t>
  </si>
  <si>
    <t>SA</t>
  </si>
  <si>
    <t>A</t>
  </si>
  <si>
    <t>0°　　</t>
  </si>
  <si>
    <t>5°　　</t>
  </si>
  <si>
    <t>10°　　</t>
  </si>
  <si>
    <t>15°　　</t>
  </si>
  <si>
    <t>20°　　</t>
  </si>
  <si>
    <t>25°　　</t>
  </si>
  <si>
    <t>30°　　</t>
  </si>
  <si>
    <t>35°　　</t>
  </si>
  <si>
    <t>40°　　</t>
  </si>
  <si>
    <t>45°　　</t>
  </si>
  <si>
    <t>50°　　</t>
  </si>
  <si>
    <t>55°　　</t>
  </si>
  <si>
    <t>60°　　</t>
  </si>
  <si>
    <t>65°　　</t>
  </si>
  <si>
    <t>70°　　</t>
  </si>
  <si>
    <t>75°　　</t>
  </si>
  <si>
    <t>80°　　</t>
  </si>
  <si>
    <t>85°　　</t>
  </si>
  <si>
    <t>90°　　</t>
  </si>
  <si>
    <t>95°　　</t>
  </si>
  <si>
    <t>100°　　</t>
  </si>
  <si>
    <t>105°　　</t>
  </si>
  <si>
    <t>110°　　</t>
  </si>
  <si>
    <t>115°　　</t>
  </si>
  <si>
    <t>120°　　</t>
  </si>
  <si>
    <t>125°　　</t>
  </si>
  <si>
    <t>130°　　</t>
  </si>
  <si>
    <t>135°　　</t>
  </si>
  <si>
    <t>140°　　</t>
  </si>
  <si>
    <t>145°　　</t>
  </si>
  <si>
    <t>150°　　</t>
  </si>
  <si>
    <t>155°　　</t>
  </si>
  <si>
    <t>160°　　</t>
  </si>
  <si>
    <t>165°　　</t>
  </si>
  <si>
    <t>170°　　</t>
  </si>
  <si>
    <t>175°　　</t>
  </si>
  <si>
    <t>180°　　</t>
  </si>
  <si>
    <t>kg</t>
  </si>
  <si>
    <t>OR1</t>
  </si>
  <si>
    <t>Data</t>
  </si>
  <si>
    <t>W(B)</t>
  </si>
  <si>
    <t>W(S)</t>
  </si>
  <si>
    <t>L(S)</t>
  </si>
  <si>
    <t>R0</t>
  </si>
  <si>
    <t>W(L)</t>
  </si>
  <si>
    <t>Max</t>
  </si>
  <si>
    <t>Half</t>
  </si>
  <si>
    <t>Min</t>
  </si>
  <si>
    <t>Cf</t>
  </si>
  <si>
    <t>Cr</t>
  </si>
  <si>
    <t>L(B)</t>
  </si>
  <si>
    <t>α</t>
  </si>
  <si>
    <t>X1</t>
  </si>
  <si>
    <t>Y1</t>
  </si>
  <si>
    <t>Yv</t>
  </si>
  <si>
    <t>X0</t>
  </si>
  <si>
    <t>Y0</t>
  </si>
  <si>
    <t xml:space="preserve">θ = θ' + β = </t>
  </si>
  <si>
    <t>f=</t>
  </si>
  <si>
    <t>Wv</t>
  </si>
  <si>
    <t>W1=</t>
  </si>
  <si>
    <t>Wv + WL - P2 - P4</t>
  </si>
  <si>
    <t>A</t>
  </si>
  <si>
    <t>Wv + WL - P1 - P3</t>
  </si>
  <si>
    <t>OR2</t>
  </si>
  <si>
    <t>OR3</t>
  </si>
  <si>
    <t>OR4</t>
  </si>
  <si>
    <t>OR1中心～OR4中心</t>
  </si>
  <si>
    <t>OR2中心～OR3中心</t>
  </si>
  <si>
    <t>(Max/Half/Min)</t>
  </si>
  <si>
    <t>=</t>
  </si>
  <si>
    <t>+</t>
  </si>
  <si>
    <t>Y1(Cr-Cf)</t>
  </si>
  <si>
    <t>L</t>
  </si>
  <si>
    <t>=</t>
  </si>
  <si>
    <t>m</t>
  </si>
  <si>
    <t>=</t>
  </si>
  <si>
    <t>kgf</t>
  </si>
  <si>
    <t>m</t>
  </si>
  <si>
    <t>g</t>
  </si>
  <si>
    <t>=</t>
  </si>
  <si>
    <t>m</t>
  </si>
  <si>
    <t>=</t>
  </si>
  <si>
    <t>kgf</t>
  </si>
  <si>
    <t>m</t>
  </si>
  <si>
    <t>=</t>
  </si>
  <si>
    <t>kgf</t>
  </si>
  <si>
    <t>D</t>
  </si>
  <si>
    <t>m</t>
  </si>
  <si>
    <t>SA</t>
  </si>
  <si>
    <t>=</t>
  </si>
  <si>
    <t>m</t>
  </si>
  <si>
    <t>A</t>
  </si>
  <si>
    <t>Cf</t>
  </si>
  <si>
    <t>Cr</t>
  </si>
  <si>
    <t>=</t>
  </si>
  <si>
    <t xml:space="preserve"> m</t>
  </si>
  <si>
    <t>m,</t>
  </si>
  <si>
    <t>kgf</t>
  </si>
  <si>
    <t>kg</t>
  </si>
  <si>
    <t>kg</t>
  </si>
  <si>
    <t>Maximum point loading</t>
  </si>
  <si>
    <t>Max</t>
  </si>
  <si>
    <t>OR2</t>
  </si>
  <si>
    <t>OR3</t>
  </si>
  <si>
    <t>OR4</t>
  </si>
  <si>
    <t>吊臂重心</t>
  </si>
  <si>
    <t>回旋重心～回旋中心</t>
  </si>
  <si>
    <t>动载荷系数</t>
  </si>
  <si>
    <t>臂后交点～回旋中心</t>
  </si>
  <si>
    <t>节</t>
  </si>
  <si>
    <t>载荷</t>
  </si>
  <si>
    <t>吊重</t>
  </si>
  <si>
    <t>第1</t>
  </si>
  <si>
    <t>第2</t>
  </si>
  <si>
    <t>第3</t>
  </si>
  <si>
    <t>第1</t>
  </si>
  <si>
    <t>第2</t>
  </si>
  <si>
    <t>第3</t>
  </si>
  <si>
    <t>SPT299</t>
  </si>
  <si>
    <t>SPT299</t>
  </si>
  <si>
    <t>SPT299</t>
  </si>
  <si>
    <t>SPT299</t>
  </si>
  <si>
    <t>反力计算条件</t>
  </si>
  <si>
    <t>吊臂长度</t>
  </si>
  <si>
    <t>吊臂质量</t>
  </si>
  <si>
    <t>L(B)</t>
  </si>
  <si>
    <t>臂头滑轮偏距</t>
  </si>
  <si>
    <t>回旋质量</t>
  </si>
  <si>
    <t>W(S)</t>
  </si>
  <si>
    <t>L(S)</t>
  </si>
  <si>
    <t>车体质量</t>
  </si>
  <si>
    <t>车体重心～回旋中心</t>
  </si>
  <si>
    <t>OR2,3侧中心～回旋中心</t>
  </si>
  <si>
    <t>OR1,4侧中心～OR2,3侧中心</t>
  </si>
  <si>
    <r>
      <t>R</t>
    </r>
    <r>
      <rPr>
        <vertAlign val="subscript"/>
        <sz val="11"/>
        <rFont val="宋体"/>
        <family val="0"/>
      </rPr>
      <t>0</t>
    </r>
  </si>
  <si>
    <t>静载荷系数</t>
  </si>
  <si>
    <t>臂长</t>
  </si>
  <si>
    <t>节数</t>
  </si>
  <si>
    <t>支腿展开</t>
  </si>
  <si>
    <t>作业半径</t>
  </si>
  <si>
    <t>吊钩质量</t>
  </si>
  <si>
    <t>吊钩质量</t>
  </si>
  <si>
    <t>SPT299</t>
  </si>
  <si>
    <r>
      <t>Wｖ = W + W</t>
    </r>
    <r>
      <rPr>
        <vertAlign val="subscript"/>
        <sz val="11"/>
        <rFont val="宋体"/>
        <family val="0"/>
      </rPr>
      <t>B</t>
    </r>
    <r>
      <rPr>
        <sz val="11"/>
        <rFont val="宋体"/>
        <family val="0"/>
      </rPr>
      <t xml:space="preserve"> + Ws =</t>
    </r>
  </si>
  <si>
    <t>OR1</t>
  </si>
  <si>
    <r>
      <t>β = tan</t>
    </r>
    <r>
      <rPr>
        <vertAlign val="superscript"/>
        <sz val="11"/>
        <rFont val="宋体"/>
        <family val="0"/>
      </rPr>
      <t>-1</t>
    </r>
    <r>
      <rPr>
        <sz val="11"/>
        <rFont val="宋体"/>
        <family val="0"/>
      </rPr>
      <t>(g/L) =</t>
    </r>
  </si>
  <si>
    <r>
      <t>L' = （√L</t>
    </r>
    <r>
      <rPr>
        <vertAlign val="superscript"/>
        <sz val="11"/>
        <rFont val="宋体"/>
        <family val="0"/>
      </rPr>
      <t>2</t>
    </r>
    <r>
      <rPr>
        <sz val="11"/>
        <rFont val="宋体"/>
        <family val="0"/>
      </rPr>
      <t>+g</t>
    </r>
    <r>
      <rPr>
        <vertAlign val="superscript"/>
        <sz val="11"/>
        <rFont val="宋体"/>
        <family val="0"/>
      </rPr>
      <t>2</t>
    </r>
    <r>
      <rPr>
        <sz val="11"/>
        <rFont val="宋体"/>
        <family val="0"/>
      </rPr>
      <t>) =</t>
    </r>
  </si>
  <si>
    <r>
      <t>θ' = cos</t>
    </r>
    <r>
      <rPr>
        <vertAlign val="superscript"/>
        <sz val="11"/>
        <rFont val="宋体"/>
        <family val="0"/>
      </rPr>
      <t>-1</t>
    </r>
    <r>
      <rPr>
        <sz val="11"/>
        <rFont val="宋体"/>
        <family val="0"/>
      </rPr>
      <t>((R+R</t>
    </r>
    <r>
      <rPr>
        <vertAlign val="subscript"/>
        <sz val="11"/>
        <rFont val="宋体"/>
        <family val="0"/>
      </rPr>
      <t>0</t>
    </r>
    <r>
      <rPr>
        <sz val="11"/>
        <rFont val="宋体"/>
        <family val="0"/>
      </rPr>
      <t>)/L') =</t>
    </r>
  </si>
  <si>
    <r>
      <t>W</t>
    </r>
    <r>
      <rPr>
        <sz val="11"/>
        <rFont val="宋体"/>
        <family val="0"/>
      </rPr>
      <t>･</t>
    </r>
    <r>
      <rPr>
        <sz val="11"/>
        <rFont val="宋体"/>
        <family val="0"/>
      </rPr>
      <t>R + W</t>
    </r>
    <r>
      <rPr>
        <vertAlign val="subscript"/>
        <sz val="11"/>
        <rFont val="宋体"/>
        <family val="0"/>
      </rPr>
      <t>B</t>
    </r>
    <r>
      <rPr>
        <sz val="11"/>
        <rFont val="宋体"/>
        <family val="0"/>
      </rPr>
      <t>{L</t>
    </r>
    <r>
      <rPr>
        <vertAlign val="subscript"/>
        <sz val="11"/>
        <rFont val="宋体"/>
        <family val="0"/>
      </rPr>
      <t>B</t>
    </r>
    <r>
      <rPr>
        <sz val="11"/>
        <rFont val="宋体"/>
        <family val="0"/>
      </rPr>
      <t>cosθ-R</t>
    </r>
    <r>
      <rPr>
        <vertAlign val="subscript"/>
        <sz val="11"/>
        <rFont val="宋体"/>
        <family val="0"/>
      </rPr>
      <t>0</t>
    </r>
    <r>
      <rPr>
        <sz val="11"/>
        <rFont val="宋体"/>
        <family val="0"/>
      </rPr>
      <t>} + Ws</t>
    </r>
    <r>
      <rPr>
        <sz val="11"/>
        <rFont val="宋体"/>
        <family val="0"/>
      </rPr>
      <t>･</t>
    </r>
    <r>
      <rPr>
        <sz val="11"/>
        <rFont val="宋体"/>
        <family val="0"/>
      </rPr>
      <t>Ls</t>
    </r>
  </si>
  <si>
    <t>OR1,OR2,OR3,OR4＞０</t>
  </si>
  <si>
    <r>
      <t>Wv + W</t>
    </r>
    <r>
      <rPr>
        <vertAlign val="subscript"/>
        <sz val="11"/>
        <rFont val="宋体"/>
        <family val="0"/>
      </rPr>
      <t>L</t>
    </r>
  </si>
  <si>
    <t>X1 =</t>
  </si>
  <si>
    <t>WL(D-SA+A/2)</t>
  </si>
  <si>
    <r>
      <t>WV(f</t>
    </r>
    <r>
      <rPr>
        <sz val="11"/>
        <rFont val="宋体"/>
        <family val="0"/>
      </rPr>
      <t>・</t>
    </r>
    <r>
      <rPr>
        <sz val="11"/>
        <rFont val="宋体"/>
        <family val="0"/>
      </rPr>
      <t>COSα-SA+A/2)</t>
    </r>
  </si>
  <si>
    <t>2A</t>
  </si>
  <si>
    <t>Y1 =</t>
  </si>
  <si>
    <r>
      <t>Wv</t>
    </r>
    <r>
      <rPr>
        <sz val="11"/>
        <rFont val="宋体"/>
        <family val="0"/>
      </rPr>
      <t>･</t>
    </r>
    <r>
      <rPr>
        <sz val="11"/>
        <rFont val="宋体"/>
        <family val="0"/>
      </rPr>
      <t>f</t>
    </r>
    <r>
      <rPr>
        <sz val="11"/>
        <rFont val="宋体"/>
        <family val="0"/>
      </rPr>
      <t>･</t>
    </r>
    <r>
      <rPr>
        <sz val="11"/>
        <rFont val="宋体"/>
        <family val="0"/>
      </rPr>
      <t>sinα</t>
    </r>
  </si>
  <si>
    <t>Cr+Cf</t>
  </si>
  <si>
    <t>YV =</t>
  </si>
  <si>
    <t>2(Cr+Cf)</t>
  </si>
  <si>
    <t>OR1 = W1 - X1 + Y1 - YV</t>
  </si>
  <si>
    <t>OR2 = W1 + X1 + Y1 + YV</t>
  </si>
  <si>
    <t>OR3 = W1 + X1 - Y1 + YV</t>
  </si>
  <si>
    <t>OR4 = W1 - X1 - Y1 - YV</t>
  </si>
  <si>
    <t>OR3 or OR4＞０</t>
  </si>
  <si>
    <r>
      <t>X</t>
    </r>
    <r>
      <rPr>
        <vertAlign val="subscript"/>
        <sz val="11"/>
        <rFont val="宋体"/>
        <family val="0"/>
      </rPr>
      <t>0</t>
    </r>
    <r>
      <rPr>
        <sz val="11"/>
        <rFont val="宋体"/>
        <family val="0"/>
      </rPr>
      <t xml:space="preserve"> =</t>
    </r>
  </si>
  <si>
    <r>
      <t>SA -    Wv</t>
    </r>
    <r>
      <rPr>
        <sz val="11"/>
        <rFont val="宋体"/>
        <family val="0"/>
      </rPr>
      <t>･</t>
    </r>
    <r>
      <rPr>
        <sz val="11"/>
        <rFont val="宋体"/>
        <family val="0"/>
      </rPr>
      <t>f</t>
    </r>
    <r>
      <rPr>
        <sz val="11"/>
        <rFont val="宋体"/>
        <family val="0"/>
      </rPr>
      <t>･</t>
    </r>
    <r>
      <rPr>
        <sz val="11"/>
        <rFont val="宋体"/>
        <family val="0"/>
      </rPr>
      <t>cosα  -  W</t>
    </r>
    <r>
      <rPr>
        <vertAlign val="subscript"/>
        <sz val="11"/>
        <rFont val="宋体"/>
        <family val="0"/>
      </rPr>
      <t>L</t>
    </r>
    <r>
      <rPr>
        <sz val="11"/>
        <rFont val="宋体"/>
        <family val="0"/>
      </rPr>
      <t>･</t>
    </r>
    <r>
      <rPr>
        <sz val="11"/>
        <rFont val="宋体"/>
        <family val="0"/>
      </rPr>
      <t>D</t>
    </r>
  </si>
  <si>
    <r>
      <t xml:space="preserve">           Wv + W</t>
    </r>
    <r>
      <rPr>
        <vertAlign val="subscript"/>
        <sz val="11"/>
        <rFont val="宋体"/>
        <family val="0"/>
      </rPr>
      <t>L</t>
    </r>
    <r>
      <rPr>
        <sz val="11"/>
        <rFont val="宋体"/>
        <family val="0"/>
      </rPr>
      <t xml:space="preserve">         Wv + W</t>
    </r>
    <r>
      <rPr>
        <vertAlign val="subscript"/>
        <sz val="11"/>
        <rFont val="宋体"/>
        <family val="0"/>
      </rPr>
      <t>L</t>
    </r>
  </si>
  <si>
    <r>
      <t>Y</t>
    </r>
    <r>
      <rPr>
        <vertAlign val="subscript"/>
        <sz val="11"/>
        <rFont val="宋体"/>
        <family val="0"/>
      </rPr>
      <t>0</t>
    </r>
    <r>
      <rPr>
        <sz val="11"/>
        <rFont val="宋体"/>
        <family val="0"/>
      </rPr>
      <t xml:space="preserve"> =</t>
    </r>
  </si>
  <si>
    <t xml:space="preserve">OR4 &lt; 0 </t>
  </si>
  <si>
    <t>OR1 =</t>
  </si>
  <si>
    <r>
      <t>X</t>
    </r>
    <r>
      <rPr>
        <vertAlign val="subscript"/>
        <sz val="11"/>
        <rFont val="宋体"/>
        <family val="0"/>
      </rPr>
      <t>0</t>
    </r>
    <r>
      <rPr>
        <sz val="11"/>
        <rFont val="宋体"/>
        <family val="0"/>
      </rPr>
      <t xml:space="preserve"> (Wv + W</t>
    </r>
    <r>
      <rPr>
        <vertAlign val="subscript"/>
        <sz val="11"/>
        <rFont val="宋体"/>
        <family val="0"/>
      </rPr>
      <t>L</t>
    </r>
    <r>
      <rPr>
        <sz val="11"/>
        <rFont val="宋体"/>
        <family val="0"/>
      </rPr>
      <t>)</t>
    </r>
  </si>
  <si>
    <t>OR2 =</t>
  </si>
  <si>
    <t>OR3 =</t>
  </si>
  <si>
    <r>
      <t>(C-Y</t>
    </r>
    <r>
      <rPr>
        <vertAlign val="subscript"/>
        <sz val="11"/>
        <rFont val="宋体"/>
        <family val="0"/>
      </rPr>
      <t>0</t>
    </r>
    <r>
      <rPr>
        <sz val="11"/>
        <rFont val="宋体"/>
        <family val="0"/>
      </rPr>
      <t>)(Wv + W</t>
    </r>
    <r>
      <rPr>
        <vertAlign val="subscript"/>
        <sz val="11"/>
        <rFont val="宋体"/>
        <family val="0"/>
      </rPr>
      <t>L</t>
    </r>
    <r>
      <rPr>
        <sz val="11"/>
        <rFont val="宋体"/>
        <family val="0"/>
      </rPr>
      <t>)</t>
    </r>
  </si>
  <si>
    <t>OR4 =</t>
  </si>
  <si>
    <t xml:space="preserve">OR3 &lt; 0 </t>
  </si>
  <si>
    <r>
      <t>(A - X</t>
    </r>
    <r>
      <rPr>
        <vertAlign val="subscript"/>
        <sz val="11"/>
        <rFont val="宋体"/>
        <family val="0"/>
      </rPr>
      <t>0</t>
    </r>
    <r>
      <rPr>
        <sz val="11"/>
        <rFont val="宋体"/>
        <family val="0"/>
      </rPr>
      <t>)(Wv + W</t>
    </r>
    <r>
      <rPr>
        <vertAlign val="subscript"/>
        <sz val="11"/>
        <rFont val="宋体"/>
        <family val="0"/>
      </rPr>
      <t>L</t>
    </r>
    <r>
      <rPr>
        <sz val="11"/>
        <rFont val="宋体"/>
        <family val="0"/>
      </rPr>
      <t>)</t>
    </r>
  </si>
  <si>
    <r>
      <t>S</t>
    </r>
    <r>
      <rPr>
        <sz val="11"/>
        <rFont val="宋体"/>
        <family val="0"/>
      </rPr>
      <t>PT499</t>
    </r>
  </si>
  <si>
    <r>
      <t>S</t>
    </r>
    <r>
      <rPr>
        <sz val="11"/>
        <rFont val="宋体"/>
        <family val="0"/>
      </rPr>
      <t>PT499</t>
    </r>
  </si>
  <si>
    <r>
      <t>SPT</t>
    </r>
    <r>
      <rPr>
        <sz val="11"/>
        <rFont val="宋体"/>
        <family val="0"/>
      </rPr>
      <t>1009</t>
    </r>
  </si>
  <si>
    <r>
      <t>S</t>
    </r>
    <r>
      <rPr>
        <sz val="11"/>
        <rFont val="宋体"/>
        <family val="0"/>
      </rPr>
      <t>PT</t>
    </r>
    <r>
      <rPr>
        <sz val="11"/>
        <rFont val="宋体"/>
        <family val="0"/>
      </rPr>
      <t>1009</t>
    </r>
  </si>
  <si>
    <t>расчет нагрузки на точку опоры</t>
  </si>
  <si>
    <t>код модели</t>
  </si>
  <si>
    <t>SPT499</t>
  </si>
  <si>
    <t>SPT1009</t>
  </si>
  <si>
    <t>модель крана</t>
  </si>
  <si>
    <t>секция стрелы</t>
  </si>
  <si>
    <t>рабочий радиус</t>
  </si>
  <si>
    <t>※вес крюкоблока включен в "вес груза"</t>
  </si>
  <si>
    <t>вес стандартного крюкоблока (kg)</t>
  </si>
  <si>
    <t>Ввод</t>
  </si>
  <si>
    <t>угол поворота</t>
  </si>
  <si>
    <t>АУТ1</t>
  </si>
  <si>
    <t>АУТ4</t>
  </si>
  <si>
    <t>АУТ3</t>
  </si>
  <si>
    <t>АУТ2</t>
  </si>
  <si>
    <t xml:space="preserve">маскимальная    точка нагрузки </t>
  </si>
  <si>
    <t xml:space="preserve">расстановка        аутригеров </t>
  </si>
  <si>
    <t>вес груза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</si>
</sst>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¥&quot;#,##0;&quot;¥&quot;\-#,##0"/>
    <numFmt numFmtId="173" formatCode="&quot;¥&quot;#,##0;[Red]&quot;¥&quot;\-#,##0"/>
    <numFmt numFmtId="174" formatCode="&quot;¥&quot;#,##0.00;&quot;¥&quot;\-#,##0.00"/>
    <numFmt numFmtId="175" formatCode="&quot;¥&quot;#,##0.00;[Red]&quot;¥&quot;\-#,##0.00"/>
    <numFmt numFmtId="176" formatCode="_ &quot;¥&quot;* #,##0_ ;_ &quot;¥&quot;* \-#,##0_ ;_ &quot;¥&quot;* &quot;-&quot;_ ;_ @_ "/>
    <numFmt numFmtId="177" formatCode="_ * #,##0_ ;_ * \-#,##0_ ;_ * &quot;-&quot;_ ;_ @_ "/>
    <numFmt numFmtId="178" formatCode="_ &quot;¥&quot;* #,##0.00_ ;_ &quot;¥&quot;* \-#,##0.00_ ;_ &quot;¥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\&quot;#,##0;&quot;\&quot;\-#,##0"/>
    <numFmt numFmtId="191" formatCode="&quot;\&quot;#,##0;[Red]&quot;\&quot;\-#,##0"/>
    <numFmt numFmtId="192" formatCode="&quot;\&quot;#,##0.00;&quot;\&quot;\-#,##0.00"/>
    <numFmt numFmtId="193" formatCode="&quot;\&quot;#,##0.00;[Red]&quot;\&quot;\-#,##0.00"/>
    <numFmt numFmtId="194" formatCode="_ &quot;\&quot;* #,##0_ ;_ &quot;\&quot;* \-#,##0_ ;_ &quot;\&quot;* &quot;-&quot;_ ;_ @_ "/>
    <numFmt numFmtId="195" formatCode="_ &quot;\&quot;* #,##0.00_ ;_ &quot;\&quot;* \-#,##0.00_ ;_ &quot;\&quot;* &quot;-&quot;??_ ;_ @_ 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0.000"/>
    <numFmt numFmtId="203" formatCode="0.0"/>
    <numFmt numFmtId="204" formatCode="0.0000"/>
    <numFmt numFmtId="205" formatCode="0.00_);[Red]\(0.00\)"/>
    <numFmt numFmtId="206" formatCode="0.0000_ "/>
    <numFmt numFmtId="207" formatCode="0.000_ "/>
    <numFmt numFmtId="208" formatCode="0.00_ "/>
    <numFmt numFmtId="209" formatCode="0.0_ "/>
    <numFmt numFmtId="210" formatCode="0_ "/>
    <numFmt numFmtId="211" formatCode="####&quot;kgf&quot;"/>
    <numFmt numFmtId="212" formatCode="####&quot;  kgf&quot;"/>
    <numFmt numFmtId="213" formatCode="####&quot;  m&quot;"/>
    <numFmt numFmtId="214" formatCode="####.0&quot;  m&quot;"/>
    <numFmt numFmtId="215" formatCode="####&quot;  kg&quot;"/>
    <numFmt numFmtId="216" formatCode="####.00&quot;  m&quot;"/>
    <numFmt numFmtId="217" formatCode="####.000&quot;  m&quot;"/>
    <numFmt numFmtId="218" formatCode="0_);\(0\)"/>
  </numFmts>
  <fonts count="54">
    <font>
      <sz val="11"/>
      <name val="ＭＳ Ｐゴシック"/>
      <family val="2"/>
    </font>
    <font>
      <sz val="6"/>
      <name val="ＭＳ Ｐゴシック"/>
      <family val="2"/>
    </font>
    <font>
      <sz val="9"/>
      <name val="ＭＳ Ｐゴシック"/>
      <family val="2"/>
    </font>
    <font>
      <b/>
      <sz val="9"/>
      <name val="ＭＳ Ｐゴシック"/>
      <family val="2"/>
    </font>
    <font>
      <b/>
      <sz val="10"/>
      <name val="ＭＳ Ｐゴシック"/>
      <family val="2"/>
    </font>
    <font>
      <sz val="11"/>
      <name val="宋体"/>
      <family val="0"/>
    </font>
    <font>
      <vertAlign val="subscript"/>
      <sz val="11"/>
      <name val="宋体"/>
      <family val="0"/>
    </font>
    <font>
      <vertAlign val="superscript"/>
      <sz val="11"/>
      <name val="宋体"/>
      <family val="0"/>
    </font>
    <font>
      <b/>
      <sz val="12"/>
      <name val="等线"/>
      <family val="0"/>
    </font>
    <font>
      <b/>
      <sz val="14"/>
      <name val="等线"/>
      <family val="0"/>
    </font>
    <font>
      <sz val="14"/>
      <name val="等线"/>
      <family val="0"/>
    </font>
    <font>
      <b/>
      <sz val="14"/>
      <color indexed="10"/>
      <name val="等线"/>
      <family val="0"/>
    </font>
    <font>
      <b/>
      <sz val="20"/>
      <name val="等线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0"/>
    </font>
    <font>
      <sz val="11"/>
      <name val="Calibri"/>
      <family val="0"/>
    </font>
    <font>
      <b/>
      <sz val="11"/>
      <color indexed="10"/>
      <name val="Calibri"/>
      <family val="0"/>
    </font>
    <font>
      <sz val="12"/>
      <name val="Calibri"/>
      <family val="0"/>
    </font>
    <font>
      <b/>
      <sz val="14"/>
      <name val="Calibri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hair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right" vertical="center"/>
    </xf>
    <xf numFmtId="1" fontId="31" fillId="0" borderId="0" xfId="0" applyNumberFormat="1" applyFont="1" applyFill="1" applyAlignment="1" applyProtection="1">
      <alignment horizontal="right" vertical="center"/>
      <protection/>
    </xf>
    <xf numFmtId="0" fontId="31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horizontal="left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vertical="center"/>
    </xf>
    <xf numFmtId="0" fontId="31" fillId="0" borderId="15" xfId="0" applyFont="1" applyFill="1" applyBorder="1" applyAlignment="1" quotePrefix="1">
      <alignment horizontal="center" vertical="center"/>
    </xf>
    <xf numFmtId="0" fontId="31" fillId="0" borderId="16" xfId="0" applyFont="1" applyFill="1" applyBorder="1" applyAlignment="1">
      <alignment vertical="center"/>
    </xf>
    <xf numFmtId="0" fontId="31" fillId="0" borderId="17" xfId="0" applyFont="1" applyFill="1" applyBorder="1" applyAlignment="1">
      <alignment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vertical="center"/>
    </xf>
    <xf numFmtId="0" fontId="31" fillId="0" borderId="19" xfId="0" applyFont="1" applyFill="1" applyBorder="1" applyAlignment="1">
      <alignment vertical="center"/>
    </xf>
    <xf numFmtId="0" fontId="31" fillId="0" borderId="13" xfId="0" applyFont="1" applyFill="1" applyBorder="1" applyAlignment="1" quotePrefix="1">
      <alignment horizontal="center" vertical="center"/>
    </xf>
    <xf numFmtId="0" fontId="31" fillId="0" borderId="2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vertical="center"/>
    </xf>
    <xf numFmtId="0" fontId="31" fillId="0" borderId="25" xfId="0" applyFont="1" applyFill="1" applyBorder="1" applyAlignment="1">
      <alignment vertical="center"/>
    </xf>
    <xf numFmtId="0" fontId="31" fillId="0" borderId="26" xfId="0" applyFont="1" applyFill="1" applyBorder="1" applyAlignment="1" quotePrefix="1">
      <alignment horizontal="center" vertical="center"/>
    </xf>
    <xf numFmtId="0" fontId="31" fillId="0" borderId="27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left" vertical="center"/>
    </xf>
    <xf numFmtId="0" fontId="31" fillId="0" borderId="29" xfId="0" applyFont="1" applyFill="1" applyBorder="1" applyAlignment="1">
      <alignment vertical="center"/>
    </xf>
    <xf numFmtId="0" fontId="31" fillId="0" borderId="30" xfId="0" applyFont="1" applyFill="1" applyBorder="1" applyAlignment="1" quotePrefix="1">
      <alignment horizontal="center" vertical="center"/>
    </xf>
    <xf numFmtId="0" fontId="31" fillId="0" borderId="31" xfId="0" applyFont="1" applyFill="1" applyBorder="1" applyAlignment="1">
      <alignment vertical="center"/>
    </xf>
    <xf numFmtId="0" fontId="31" fillId="0" borderId="32" xfId="0" applyFont="1" applyFill="1" applyBorder="1" applyAlignment="1">
      <alignment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vertical="center"/>
    </xf>
    <xf numFmtId="0" fontId="31" fillId="0" borderId="34" xfId="0" applyFont="1" applyFill="1" applyBorder="1" applyAlignment="1">
      <alignment vertical="center"/>
    </xf>
    <xf numFmtId="0" fontId="31" fillId="0" borderId="35" xfId="0" applyFont="1" applyFill="1" applyBorder="1" applyAlignment="1">
      <alignment vertical="center"/>
    </xf>
    <xf numFmtId="0" fontId="31" fillId="0" borderId="36" xfId="0" applyFont="1" applyFill="1" applyBorder="1" applyAlignment="1">
      <alignment vertical="center"/>
    </xf>
    <xf numFmtId="0" fontId="31" fillId="0" borderId="37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Alignment="1">
      <alignment/>
    </xf>
    <xf numFmtId="0" fontId="31" fillId="0" borderId="29" xfId="0" applyFont="1" applyFill="1" applyBorder="1" applyAlignment="1">
      <alignment/>
    </xf>
    <xf numFmtId="0" fontId="31" fillId="0" borderId="29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0" fontId="31" fillId="0" borderId="25" xfId="0" applyFont="1" applyFill="1" applyBorder="1" applyAlignment="1">
      <alignment/>
    </xf>
    <xf numFmtId="0" fontId="31" fillId="0" borderId="38" xfId="0" applyFont="1" applyFill="1" applyBorder="1" applyAlignment="1">
      <alignment/>
    </xf>
    <xf numFmtId="207" fontId="31" fillId="0" borderId="29" xfId="0" applyNumberFormat="1" applyFont="1" applyFill="1" applyBorder="1" applyAlignment="1">
      <alignment/>
    </xf>
    <xf numFmtId="0" fontId="3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1" fillId="0" borderId="39" xfId="0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2" fontId="31" fillId="0" borderId="0" xfId="0" applyNumberFormat="1" applyFont="1" applyFill="1" applyBorder="1" applyAlignment="1">
      <alignment vertical="center"/>
    </xf>
    <xf numFmtId="2" fontId="31" fillId="0" borderId="44" xfId="0" applyNumberFormat="1" applyFont="1" applyFill="1" applyBorder="1" applyAlignment="1">
      <alignment vertical="center"/>
    </xf>
    <xf numFmtId="2" fontId="31" fillId="0" borderId="45" xfId="0" applyNumberFormat="1" applyFont="1" applyFill="1" applyBorder="1" applyAlignment="1">
      <alignment vertical="center"/>
    </xf>
    <xf numFmtId="2" fontId="31" fillId="0" borderId="46" xfId="0" applyNumberFormat="1" applyFont="1" applyFill="1" applyBorder="1" applyAlignment="1">
      <alignment vertical="center"/>
    </xf>
    <xf numFmtId="2" fontId="31" fillId="0" borderId="47" xfId="0" applyNumberFormat="1" applyFont="1" applyFill="1" applyBorder="1" applyAlignment="1">
      <alignment vertical="center"/>
    </xf>
    <xf numFmtId="202" fontId="31" fillId="0" borderId="0" xfId="0" applyNumberFormat="1" applyFont="1" applyFill="1" applyAlignment="1">
      <alignment vertical="center"/>
    </xf>
    <xf numFmtId="0" fontId="31" fillId="0" borderId="48" xfId="0" applyFont="1" applyFill="1" applyBorder="1" applyAlignment="1">
      <alignment vertical="center"/>
    </xf>
    <xf numFmtId="0" fontId="31" fillId="0" borderId="38" xfId="0" applyFont="1" applyFill="1" applyBorder="1" applyAlignment="1">
      <alignment vertical="center"/>
    </xf>
    <xf numFmtId="0" fontId="31" fillId="0" borderId="49" xfId="0" applyFont="1" applyFill="1" applyBorder="1" applyAlignment="1">
      <alignment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50" xfId="0" applyFont="1" applyFill="1" applyBorder="1" applyAlignment="1">
      <alignment vertical="center"/>
    </xf>
    <xf numFmtId="0" fontId="31" fillId="0" borderId="51" xfId="0" applyFont="1" applyFill="1" applyBorder="1" applyAlignment="1">
      <alignment vertical="center"/>
    </xf>
    <xf numFmtId="0" fontId="31" fillId="0" borderId="23" xfId="0" applyFont="1" applyFill="1" applyBorder="1" applyAlignment="1">
      <alignment horizontal="right" vertical="center"/>
    </xf>
    <xf numFmtId="0" fontId="31" fillId="0" borderId="52" xfId="0" applyFont="1" applyFill="1" applyBorder="1" applyAlignment="1">
      <alignment horizontal="center" vertical="center"/>
    </xf>
    <xf numFmtId="2" fontId="31" fillId="0" borderId="25" xfId="0" applyNumberFormat="1" applyFont="1" applyFill="1" applyBorder="1" applyAlignment="1">
      <alignment vertical="center"/>
    </xf>
    <xf numFmtId="2" fontId="31" fillId="0" borderId="53" xfId="0" applyNumberFormat="1" applyFont="1" applyFill="1" applyBorder="1" applyAlignment="1">
      <alignment vertical="center"/>
    </xf>
    <xf numFmtId="2" fontId="31" fillId="0" borderId="54" xfId="0" applyNumberFormat="1" applyFont="1" applyFill="1" applyBorder="1" applyAlignment="1">
      <alignment vertical="center"/>
    </xf>
    <xf numFmtId="0" fontId="31" fillId="0" borderId="50" xfId="0" applyFont="1" applyFill="1" applyBorder="1" applyAlignment="1">
      <alignment horizontal="right" vertical="center"/>
    </xf>
    <xf numFmtId="202" fontId="31" fillId="0" borderId="0" xfId="0" applyNumberFormat="1" applyFont="1" applyFill="1" applyBorder="1" applyAlignment="1">
      <alignment vertical="center"/>
    </xf>
    <xf numFmtId="1" fontId="31" fillId="0" borderId="0" xfId="0" applyNumberFormat="1" applyFont="1" applyFill="1" applyBorder="1" applyAlignment="1">
      <alignment vertical="center"/>
    </xf>
    <xf numFmtId="0" fontId="31" fillId="0" borderId="28" xfId="0" applyFont="1" applyFill="1" applyBorder="1" applyAlignment="1">
      <alignment horizontal="left" vertical="center"/>
    </xf>
    <xf numFmtId="0" fontId="31" fillId="0" borderId="29" xfId="0" applyFont="1" applyFill="1" applyBorder="1" applyAlignment="1">
      <alignment/>
    </xf>
    <xf numFmtId="0" fontId="9" fillId="0" borderId="0" xfId="0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 horizontal="right"/>
      <protection hidden="1"/>
    </xf>
    <xf numFmtId="0" fontId="10" fillId="0" borderId="0" xfId="0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 horizontal="right"/>
      <protection hidden="1"/>
    </xf>
    <xf numFmtId="0" fontId="9" fillId="0" borderId="29" xfId="0" applyFont="1" applyFill="1" applyBorder="1" applyAlignment="1" applyProtection="1">
      <alignment horizontal="center"/>
      <protection hidden="1"/>
    </xf>
    <xf numFmtId="0" fontId="9" fillId="0" borderId="29" xfId="0" applyFont="1" applyFill="1" applyBorder="1" applyAlignment="1" applyProtection="1">
      <alignment horizontal="center" shrinkToFit="1"/>
      <protection hidden="1"/>
    </xf>
    <xf numFmtId="0" fontId="9" fillId="0" borderId="29" xfId="0" applyFont="1" applyFill="1" applyBorder="1" applyAlignment="1" applyProtection="1">
      <alignment horizontal="left"/>
      <protection hidden="1"/>
    </xf>
    <xf numFmtId="0" fontId="10" fillId="0" borderId="0" xfId="0" applyFont="1" applyFill="1" applyAlignment="1" applyProtection="1">
      <alignment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9" fillId="0" borderId="55" xfId="0" applyFont="1" applyFill="1" applyBorder="1" applyAlignment="1" applyProtection="1">
      <alignment horizontal="right"/>
      <protection hidden="1" locked="0"/>
    </xf>
    <xf numFmtId="0" fontId="10" fillId="0" borderId="56" xfId="0" applyFont="1" applyFill="1" applyBorder="1" applyAlignment="1" applyProtection="1">
      <alignment horizontal="center"/>
      <protection hidden="1"/>
    </xf>
    <xf numFmtId="212" fontId="10" fillId="0" borderId="57" xfId="0" applyNumberFormat="1" applyFont="1" applyFill="1" applyBorder="1" applyAlignment="1" applyProtection="1">
      <alignment horizontal="center"/>
      <protection hidden="1"/>
    </xf>
    <xf numFmtId="212" fontId="10" fillId="0" borderId="58" xfId="0" applyNumberFormat="1" applyFont="1" applyFill="1" applyBorder="1" applyAlignment="1" applyProtection="1">
      <alignment horizontal="center"/>
      <protection hidden="1"/>
    </xf>
    <xf numFmtId="212" fontId="10" fillId="0" borderId="59" xfId="0" applyNumberFormat="1" applyFont="1" applyFill="1" applyBorder="1" applyAlignment="1" applyProtection="1">
      <alignment horizontal="center"/>
      <protection hidden="1"/>
    </xf>
    <xf numFmtId="212" fontId="10" fillId="0" borderId="0" xfId="0" applyNumberFormat="1" applyFont="1" applyFill="1" applyBorder="1" applyAlignment="1" applyProtection="1">
      <alignment/>
      <protection hidden="1"/>
    </xf>
    <xf numFmtId="0" fontId="10" fillId="0" borderId="60" xfId="0" applyFont="1" applyFill="1" applyBorder="1" applyAlignment="1" applyProtection="1">
      <alignment horizontal="center"/>
      <protection hidden="1"/>
    </xf>
    <xf numFmtId="212" fontId="10" fillId="0" borderId="61" xfId="0" applyNumberFormat="1" applyFont="1" applyFill="1" applyBorder="1" applyAlignment="1" applyProtection="1">
      <alignment horizontal="center"/>
      <protection hidden="1"/>
    </xf>
    <xf numFmtId="212" fontId="10" fillId="0" borderId="62" xfId="0" applyNumberFormat="1" applyFont="1" applyFill="1" applyBorder="1" applyAlignment="1" applyProtection="1">
      <alignment horizontal="center"/>
      <protection hidden="1"/>
    </xf>
    <xf numFmtId="212" fontId="10" fillId="0" borderId="63" xfId="0" applyNumberFormat="1" applyFont="1" applyFill="1" applyBorder="1" applyAlignment="1" applyProtection="1">
      <alignment horizontal="center"/>
      <protection hidden="1"/>
    </xf>
    <xf numFmtId="212" fontId="10" fillId="0" borderId="0" xfId="0" applyNumberFormat="1" applyFont="1" applyFill="1" applyAlignment="1" applyProtection="1">
      <alignment/>
      <protection hidden="1"/>
    </xf>
    <xf numFmtId="0" fontId="10" fillId="0" borderId="64" xfId="0" applyFont="1" applyFill="1" applyBorder="1" applyAlignment="1" applyProtection="1">
      <alignment horizontal="center"/>
      <protection hidden="1"/>
    </xf>
    <xf numFmtId="212" fontId="10" fillId="0" borderId="65" xfId="0" applyNumberFormat="1" applyFont="1" applyFill="1" applyBorder="1" applyAlignment="1" applyProtection="1">
      <alignment horizontal="center"/>
      <protection hidden="1"/>
    </xf>
    <xf numFmtId="212" fontId="10" fillId="0" borderId="66" xfId="0" applyNumberFormat="1" applyFont="1" applyFill="1" applyBorder="1" applyAlignment="1" applyProtection="1">
      <alignment horizontal="center"/>
      <protection hidden="1"/>
    </xf>
    <xf numFmtId="212" fontId="10" fillId="0" borderId="67" xfId="0" applyNumberFormat="1" applyFont="1" applyFill="1" applyBorder="1" applyAlignment="1" applyProtection="1">
      <alignment horizontal="center"/>
      <protection hidden="1"/>
    </xf>
    <xf numFmtId="0" fontId="10" fillId="0" borderId="68" xfId="0" applyFont="1" applyFill="1" applyBorder="1" applyAlignment="1" applyProtection="1">
      <alignment horizontal="center"/>
      <protection hidden="1"/>
    </xf>
    <xf numFmtId="212" fontId="10" fillId="0" borderId="69" xfId="0" applyNumberFormat="1" applyFont="1" applyFill="1" applyBorder="1" applyAlignment="1" applyProtection="1">
      <alignment horizontal="center"/>
      <protection hidden="1"/>
    </xf>
    <xf numFmtId="212" fontId="10" fillId="0" borderId="70" xfId="0" applyNumberFormat="1" applyFont="1" applyFill="1" applyBorder="1" applyAlignment="1" applyProtection="1">
      <alignment horizontal="center"/>
      <protection hidden="1"/>
    </xf>
    <xf numFmtId="212" fontId="10" fillId="0" borderId="71" xfId="0" applyNumberFormat="1" applyFont="1" applyFill="1" applyBorder="1" applyAlignment="1" applyProtection="1">
      <alignment horizontal="center"/>
      <protection hidden="1"/>
    </xf>
    <xf numFmtId="0" fontId="10" fillId="0" borderId="72" xfId="0" applyFont="1" applyFill="1" applyBorder="1" applyAlignment="1" applyProtection="1">
      <alignment horizontal="center"/>
      <protection hidden="1"/>
    </xf>
    <xf numFmtId="212" fontId="10" fillId="0" borderId="73" xfId="0" applyNumberFormat="1" applyFont="1" applyFill="1" applyBorder="1" applyAlignment="1" applyProtection="1">
      <alignment horizontal="center"/>
      <protection hidden="1"/>
    </xf>
    <xf numFmtId="212" fontId="10" fillId="0" borderId="74" xfId="0" applyNumberFormat="1" applyFont="1" applyFill="1" applyBorder="1" applyAlignment="1" applyProtection="1">
      <alignment horizontal="center"/>
      <protection hidden="1"/>
    </xf>
    <xf numFmtId="212" fontId="10" fillId="0" borderId="75" xfId="0" applyNumberFormat="1" applyFont="1" applyFill="1" applyBorder="1" applyAlignment="1" applyProtection="1">
      <alignment horizontal="center"/>
      <protection hidden="1"/>
    </xf>
    <xf numFmtId="0" fontId="10" fillId="0" borderId="76" xfId="0" applyFont="1" applyFill="1" applyBorder="1" applyAlignment="1" applyProtection="1">
      <alignment horizontal="center"/>
      <protection hidden="1"/>
    </xf>
    <xf numFmtId="0" fontId="10" fillId="0" borderId="77" xfId="0" applyFont="1" applyFill="1" applyBorder="1" applyAlignment="1" applyProtection="1">
      <alignment horizontal="center"/>
      <protection hidden="1"/>
    </xf>
    <xf numFmtId="212" fontId="10" fillId="0" borderId="78" xfId="0" applyNumberFormat="1" applyFont="1" applyFill="1" applyBorder="1" applyAlignment="1" applyProtection="1">
      <alignment horizontal="center"/>
      <protection hidden="1"/>
    </xf>
    <xf numFmtId="212" fontId="10" fillId="0" borderId="79" xfId="0" applyNumberFormat="1" applyFont="1" applyFill="1" applyBorder="1" applyAlignment="1" applyProtection="1">
      <alignment horizontal="center"/>
      <protection hidden="1"/>
    </xf>
    <xf numFmtId="212" fontId="10" fillId="0" borderId="80" xfId="0" applyNumberFormat="1" applyFont="1" applyFill="1" applyBorder="1" applyAlignment="1" applyProtection="1">
      <alignment horizontal="center"/>
      <protection hidden="1"/>
    </xf>
    <xf numFmtId="212" fontId="10" fillId="0" borderId="0" xfId="0" applyNumberFormat="1" applyFont="1" applyFill="1" applyAlignment="1" applyProtection="1">
      <alignment horizontal="center"/>
      <protection hidden="1"/>
    </xf>
    <xf numFmtId="49" fontId="10" fillId="0" borderId="0" xfId="0" applyNumberFormat="1" applyFont="1" applyFill="1" applyAlignment="1" applyProtection="1">
      <alignment horizontal="center"/>
      <protection hidden="1"/>
    </xf>
    <xf numFmtId="212" fontId="10" fillId="0" borderId="81" xfId="0" applyNumberFormat="1" applyFont="1" applyFill="1" applyBorder="1" applyAlignment="1" applyProtection="1">
      <alignment horizontal="center"/>
      <protection hidden="1"/>
    </xf>
    <xf numFmtId="212" fontId="10" fillId="0" borderId="82" xfId="0" applyNumberFormat="1" applyFont="1" applyFill="1" applyBorder="1" applyAlignment="1" applyProtection="1">
      <alignment horizontal="center"/>
      <protection hidden="1"/>
    </xf>
    <xf numFmtId="212" fontId="10" fillId="0" borderId="83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 horizontal="right"/>
      <protection hidden="1"/>
    </xf>
    <xf numFmtId="0" fontId="8" fillId="0" borderId="84" xfId="0" applyFont="1" applyFill="1" applyBorder="1" applyAlignment="1" applyProtection="1">
      <alignment horizontal="right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1" fontId="9" fillId="0" borderId="55" xfId="0" applyNumberFormat="1" applyFont="1" applyFill="1" applyBorder="1" applyAlignment="1" applyProtection="1">
      <alignment horizontal="right" vertical="center"/>
      <protection hidden="1" locked="0"/>
    </xf>
    <xf numFmtId="1" fontId="9" fillId="0" borderId="85" xfId="0" applyNumberFormat="1" applyFont="1" applyFill="1" applyBorder="1" applyAlignment="1" applyProtection="1">
      <alignment horizontal="right" vertical="center"/>
      <protection hidden="1" locked="0"/>
    </xf>
    <xf numFmtId="0" fontId="9" fillId="0" borderId="55" xfId="0" applyNumberFormat="1" applyFont="1" applyFill="1" applyBorder="1" applyAlignment="1" applyProtection="1">
      <alignment horizontal="right" vertical="center"/>
      <protection hidden="1" locked="0"/>
    </xf>
    <xf numFmtId="0" fontId="9" fillId="0" borderId="85" xfId="0" applyNumberFormat="1" applyFont="1" applyFill="1" applyBorder="1" applyAlignment="1" applyProtection="1">
      <alignment horizontal="right" vertical="center"/>
      <protection hidden="1" locked="0"/>
    </xf>
    <xf numFmtId="0" fontId="9" fillId="0" borderId="86" xfId="0" applyFont="1" applyFill="1" applyBorder="1" applyAlignment="1" applyProtection="1">
      <alignment horizontal="right" vertical="center"/>
      <protection hidden="1" locked="0"/>
    </xf>
    <xf numFmtId="0" fontId="9" fillId="0" borderId="85" xfId="0" applyFont="1" applyFill="1" applyBorder="1" applyAlignment="1" applyProtection="1">
      <alignment horizontal="right" vertical="center"/>
      <protection hidden="1" locked="0"/>
    </xf>
    <xf numFmtId="0" fontId="10" fillId="0" borderId="87" xfId="0" applyFont="1" applyFill="1" applyBorder="1" applyAlignment="1" applyProtection="1">
      <alignment horizontal="left" vertical="center"/>
      <protection hidden="1"/>
    </xf>
    <xf numFmtId="0" fontId="10" fillId="0" borderId="88" xfId="0" applyFont="1" applyFill="1" applyBorder="1" applyAlignment="1" applyProtection="1">
      <alignment horizontal="left" vertical="center"/>
      <protection hidden="1"/>
    </xf>
    <xf numFmtId="0" fontId="10" fillId="0" borderId="86" xfId="0" applyFont="1" applyFill="1" applyBorder="1" applyAlignment="1" applyProtection="1">
      <alignment horizontal="center" vertical="center"/>
      <protection hidden="1"/>
    </xf>
    <xf numFmtId="0" fontId="10" fillId="0" borderId="89" xfId="0" applyFont="1" applyFill="1" applyBorder="1" applyAlignment="1" applyProtection="1">
      <alignment horizontal="center" vertical="center"/>
      <protection hidden="1"/>
    </xf>
    <xf numFmtId="0" fontId="10" fillId="0" borderId="90" xfId="0" applyFont="1" applyFill="1" applyBorder="1" applyAlignment="1" applyProtection="1">
      <alignment horizontal="center" vertical="center" shrinkToFit="1"/>
      <protection hidden="1"/>
    </xf>
    <xf numFmtId="0" fontId="10" fillId="0" borderId="91" xfId="0" applyFont="1" applyFill="1" applyBorder="1" applyAlignment="1" applyProtection="1">
      <alignment horizontal="center" vertical="center" shrinkToFit="1"/>
      <protection hidden="1"/>
    </xf>
    <xf numFmtId="0" fontId="10" fillId="0" borderId="92" xfId="0" applyFont="1" applyFill="1" applyBorder="1" applyAlignment="1" applyProtection="1">
      <alignment horizontal="center" vertical="center"/>
      <protection hidden="1"/>
    </xf>
    <xf numFmtId="0" fontId="10" fillId="0" borderId="93" xfId="0" applyFont="1" applyFill="1" applyBorder="1" applyAlignment="1" applyProtection="1">
      <alignment horizontal="center" vertical="center"/>
      <protection hidden="1"/>
    </xf>
    <xf numFmtId="0" fontId="10" fillId="0" borderId="94" xfId="0" applyFont="1" applyFill="1" applyBorder="1" applyAlignment="1" applyProtection="1">
      <alignment horizontal="center" vertical="center"/>
      <protection hidden="1"/>
    </xf>
    <xf numFmtId="0" fontId="10" fillId="0" borderId="95" xfId="0" applyFont="1" applyFill="1" applyBorder="1" applyAlignment="1" applyProtection="1">
      <alignment horizontal="center" vertical="center"/>
      <protection hidden="1"/>
    </xf>
    <xf numFmtId="2" fontId="9" fillId="0" borderId="55" xfId="0" applyNumberFormat="1" applyFont="1" applyFill="1" applyBorder="1" applyAlignment="1" applyProtection="1">
      <alignment horizontal="right" vertical="center"/>
      <protection hidden="1" locked="0"/>
    </xf>
    <xf numFmtId="2" fontId="9" fillId="0" borderId="85" xfId="0" applyNumberFormat="1" applyFont="1" applyFill="1" applyBorder="1" applyAlignment="1" applyProtection="1">
      <alignment horizontal="right" vertical="center"/>
      <protection hidden="1" locked="0"/>
    </xf>
    <xf numFmtId="0" fontId="9" fillId="0" borderId="96" xfId="0" applyFont="1" applyFill="1" applyBorder="1" applyAlignment="1" applyProtection="1">
      <alignment horizontal="center" wrapText="1" shrinkToFit="1"/>
      <protection hidden="1"/>
    </xf>
    <xf numFmtId="0" fontId="9" fillId="0" borderId="0" xfId="0" applyFont="1" applyFill="1" applyBorder="1" applyAlignment="1" applyProtection="1">
      <alignment horizontal="center" wrapText="1" shrinkToFit="1"/>
      <protection hidden="1"/>
    </xf>
    <xf numFmtId="0" fontId="10" fillId="0" borderId="97" xfId="0" applyFont="1" applyFill="1" applyBorder="1" applyAlignment="1" applyProtection="1">
      <alignment horizontal="left" vertical="center"/>
      <protection hidden="1"/>
    </xf>
    <xf numFmtId="0" fontId="10" fillId="0" borderId="98" xfId="0" applyFont="1" applyFill="1" applyBorder="1" applyAlignment="1" applyProtection="1">
      <alignment horizontal="center"/>
      <protection hidden="1"/>
    </xf>
    <xf numFmtId="0" fontId="10" fillId="0" borderId="97" xfId="0" applyFont="1" applyFill="1" applyBorder="1" applyAlignment="1" applyProtection="1">
      <alignment horizontal="left" vertical="center" wrapText="1"/>
      <protection hidden="1"/>
    </xf>
    <xf numFmtId="0" fontId="10" fillId="0" borderId="99" xfId="0" applyFont="1" applyFill="1" applyBorder="1" applyAlignment="1" applyProtection="1">
      <alignment horizontal="left" vertical="center" wrapText="1"/>
      <protection hidden="1"/>
    </xf>
    <xf numFmtId="0" fontId="9" fillId="0" borderId="55" xfId="0" applyFont="1" applyFill="1" applyBorder="1" applyAlignment="1" applyProtection="1">
      <alignment horizontal="right" vertical="center"/>
      <protection hidden="1"/>
    </xf>
    <xf numFmtId="0" fontId="9" fillId="0" borderId="85" xfId="0" applyFont="1" applyFill="1" applyBorder="1" applyAlignment="1" applyProtection="1">
      <alignment horizontal="right" vertical="center"/>
      <protection hidden="1"/>
    </xf>
    <xf numFmtId="1" fontId="31" fillId="0" borderId="10" xfId="0" applyNumberFormat="1" applyFont="1" applyFill="1" applyBorder="1" applyAlignment="1">
      <alignment horizontal="center" vertical="center"/>
    </xf>
    <xf numFmtId="1" fontId="31" fillId="0" borderId="32" xfId="0" applyNumberFormat="1" applyFont="1" applyFill="1" applyBorder="1" applyAlignment="1">
      <alignment horizontal="center" vertical="center"/>
    </xf>
    <xf numFmtId="202" fontId="31" fillId="0" borderId="0" xfId="0" applyNumberFormat="1" applyFont="1" applyFill="1" applyAlignment="1">
      <alignment horizontal="center" vertical="center"/>
    </xf>
    <xf numFmtId="1" fontId="31" fillId="0" borderId="36" xfId="0" applyNumberFormat="1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100" xfId="0" applyFont="1" applyFill="1" applyBorder="1" applyAlignment="1">
      <alignment horizontal="center" vertical="center"/>
    </xf>
    <xf numFmtId="0" fontId="31" fillId="0" borderId="101" xfId="0" applyFont="1" applyFill="1" applyBorder="1" applyAlignment="1">
      <alignment horizontal="center" vertical="center"/>
    </xf>
    <xf numFmtId="0" fontId="31" fillId="0" borderId="102" xfId="0" applyFont="1" applyFill="1" applyBorder="1" applyAlignment="1">
      <alignment horizontal="center" vertical="center"/>
    </xf>
    <xf numFmtId="202" fontId="31" fillId="0" borderId="11" xfId="0" applyNumberFormat="1" applyFont="1" applyFill="1" applyBorder="1" applyAlignment="1" applyProtection="1">
      <alignment horizontal="right" vertical="center"/>
      <protection/>
    </xf>
    <xf numFmtId="202" fontId="31" fillId="0" borderId="10" xfId="0" applyNumberFormat="1" applyFont="1" applyFill="1" applyBorder="1" applyAlignment="1" applyProtection="1">
      <alignment horizontal="right" vertical="center"/>
      <protection/>
    </xf>
    <xf numFmtId="0" fontId="31" fillId="0" borderId="0" xfId="0" applyFont="1" applyFill="1" applyAlignment="1">
      <alignment vertical="center"/>
    </xf>
    <xf numFmtId="0" fontId="31" fillId="0" borderId="103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104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31" fillId="0" borderId="11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/>
    </xf>
    <xf numFmtId="0" fontId="31" fillId="0" borderId="10" xfId="0" applyFont="1" applyFill="1" applyBorder="1" applyAlignment="1" applyProtection="1">
      <alignment horizontal="right" vertical="center"/>
      <protection/>
    </xf>
    <xf numFmtId="1" fontId="31" fillId="0" borderId="17" xfId="0" applyNumberFormat="1" applyFont="1" applyFill="1" applyBorder="1" applyAlignment="1">
      <alignment horizontal="center" vertical="center"/>
    </xf>
    <xf numFmtId="2" fontId="31" fillId="0" borderId="10" xfId="0" applyNumberFormat="1" applyFont="1" applyFill="1" applyBorder="1" applyAlignment="1" applyProtection="1">
      <alignment horizontal="right" vertical="center"/>
      <protection/>
    </xf>
    <xf numFmtId="1" fontId="31" fillId="0" borderId="0" xfId="0" applyNumberFormat="1" applyFont="1" applyFill="1" applyBorder="1" applyAlignment="1">
      <alignment horizontal="center" vertical="center"/>
    </xf>
    <xf numFmtId="1" fontId="31" fillId="0" borderId="25" xfId="0" applyNumberFormat="1" applyFont="1" applyFill="1" applyBorder="1" applyAlignment="1">
      <alignment horizontal="center" vertical="center"/>
    </xf>
    <xf numFmtId="0" fontId="34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horizontal="left" vertical="center"/>
      <protection/>
    </xf>
    <xf numFmtId="211" fontId="31" fillId="0" borderId="0" xfId="0" applyNumberFormat="1" applyFont="1" applyFill="1" applyAlignment="1">
      <alignment vertical="center"/>
    </xf>
    <xf numFmtId="202" fontId="31" fillId="0" borderId="0" xfId="0" applyNumberFormat="1" applyFont="1" applyFill="1" applyAlignment="1" applyProtection="1">
      <alignment horizontal="center" vertical="center"/>
      <protection locked="0"/>
    </xf>
    <xf numFmtId="0" fontId="31" fillId="0" borderId="0" xfId="0" applyFont="1" applyFill="1" applyAlignment="1" applyProtection="1">
      <alignment horizontal="center" vertical="center"/>
      <protection locked="0"/>
    </xf>
    <xf numFmtId="0" fontId="31" fillId="0" borderId="25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right" vertical="center"/>
    </xf>
    <xf numFmtId="0" fontId="31" fillId="0" borderId="50" xfId="0" applyFont="1" applyFill="1" applyBorder="1" applyAlignment="1">
      <alignment horizontal="right" vertical="center"/>
    </xf>
    <xf numFmtId="0" fontId="31" fillId="0" borderId="0" xfId="0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2</xdr:row>
      <xdr:rowOff>209550</xdr:rowOff>
    </xdr:from>
    <xdr:to>
      <xdr:col>6</xdr:col>
      <xdr:colOff>885825</xdr:colOff>
      <xdr:row>13</xdr:row>
      <xdr:rowOff>104775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657225"/>
          <a:ext cx="399097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133350</xdr:rowOff>
    </xdr:from>
    <xdr:to>
      <xdr:col>25</xdr:col>
      <xdr:colOff>180975</xdr:colOff>
      <xdr:row>19</xdr:row>
      <xdr:rowOff>0</xdr:rowOff>
    </xdr:to>
    <xdr:pic>
      <xdr:nvPicPr>
        <xdr:cNvPr id="1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133350"/>
          <a:ext cx="3267075" cy="418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9525</xdr:rowOff>
    </xdr:from>
    <xdr:to>
      <xdr:col>4</xdr:col>
      <xdr:colOff>361950</xdr:colOff>
      <xdr:row>10</xdr:row>
      <xdr:rowOff>9525</xdr:rowOff>
    </xdr:to>
    <xdr:sp>
      <xdr:nvSpPr>
        <xdr:cNvPr id="1" name="Line 1"/>
        <xdr:cNvSpPr>
          <a:spLocks/>
        </xdr:cNvSpPr>
      </xdr:nvSpPr>
      <xdr:spPr>
        <a:xfrm>
          <a:off x="590550" y="2295525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38100</xdr:rowOff>
    </xdr:from>
    <xdr:to>
      <xdr:col>3</xdr:col>
      <xdr:colOff>9525</xdr:colOff>
      <xdr:row>33</xdr:row>
      <xdr:rowOff>38100</xdr:rowOff>
    </xdr:to>
    <xdr:sp>
      <xdr:nvSpPr>
        <xdr:cNvPr id="2" name="Line 5"/>
        <xdr:cNvSpPr>
          <a:spLocks/>
        </xdr:cNvSpPr>
      </xdr:nvSpPr>
      <xdr:spPr>
        <a:xfrm>
          <a:off x="1162050" y="75819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31</xdr:row>
      <xdr:rowOff>9525</xdr:rowOff>
    </xdr:from>
    <xdr:to>
      <xdr:col>4</xdr:col>
      <xdr:colOff>28575</xdr:colOff>
      <xdr:row>31</xdr:row>
      <xdr:rowOff>9525</xdr:rowOff>
    </xdr:to>
    <xdr:sp>
      <xdr:nvSpPr>
        <xdr:cNvPr id="3" name="Line 6"/>
        <xdr:cNvSpPr>
          <a:spLocks/>
        </xdr:cNvSpPr>
      </xdr:nvSpPr>
      <xdr:spPr>
        <a:xfrm>
          <a:off x="1743075" y="70961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9525</xdr:rowOff>
    </xdr:from>
    <xdr:to>
      <xdr:col>5</xdr:col>
      <xdr:colOff>295275</xdr:colOff>
      <xdr:row>31</xdr:row>
      <xdr:rowOff>9525</xdr:rowOff>
    </xdr:to>
    <xdr:sp>
      <xdr:nvSpPr>
        <xdr:cNvPr id="4" name="Line 7"/>
        <xdr:cNvSpPr>
          <a:spLocks/>
        </xdr:cNvSpPr>
      </xdr:nvSpPr>
      <xdr:spPr>
        <a:xfrm flipV="1">
          <a:off x="2676525" y="70961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37</xdr:row>
      <xdr:rowOff>38100</xdr:rowOff>
    </xdr:from>
    <xdr:to>
      <xdr:col>3</xdr:col>
      <xdr:colOff>200025</xdr:colOff>
      <xdr:row>37</xdr:row>
      <xdr:rowOff>38100</xdr:rowOff>
    </xdr:to>
    <xdr:sp>
      <xdr:nvSpPr>
        <xdr:cNvPr id="5" name="Line 8"/>
        <xdr:cNvSpPr>
          <a:spLocks/>
        </xdr:cNvSpPr>
      </xdr:nvSpPr>
      <xdr:spPr>
        <a:xfrm>
          <a:off x="1171575" y="84963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40</xdr:row>
      <xdr:rowOff>19050</xdr:rowOff>
    </xdr:from>
    <xdr:to>
      <xdr:col>3</xdr:col>
      <xdr:colOff>476250</xdr:colOff>
      <xdr:row>40</xdr:row>
      <xdr:rowOff>19050</xdr:rowOff>
    </xdr:to>
    <xdr:sp>
      <xdr:nvSpPr>
        <xdr:cNvPr id="6" name="Line 9"/>
        <xdr:cNvSpPr>
          <a:spLocks/>
        </xdr:cNvSpPr>
      </xdr:nvSpPr>
      <xdr:spPr>
        <a:xfrm>
          <a:off x="1171575" y="91630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49</xdr:row>
      <xdr:rowOff>19050</xdr:rowOff>
    </xdr:from>
    <xdr:to>
      <xdr:col>3</xdr:col>
      <xdr:colOff>476250</xdr:colOff>
      <xdr:row>49</xdr:row>
      <xdr:rowOff>19050</xdr:rowOff>
    </xdr:to>
    <xdr:sp>
      <xdr:nvSpPr>
        <xdr:cNvPr id="7" name="Line 10"/>
        <xdr:cNvSpPr>
          <a:spLocks/>
        </xdr:cNvSpPr>
      </xdr:nvSpPr>
      <xdr:spPr>
        <a:xfrm>
          <a:off x="1171575" y="112204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46</xdr:row>
      <xdr:rowOff>38100</xdr:rowOff>
    </xdr:from>
    <xdr:to>
      <xdr:col>3</xdr:col>
      <xdr:colOff>581025</xdr:colOff>
      <xdr:row>46</xdr:row>
      <xdr:rowOff>38100</xdr:rowOff>
    </xdr:to>
    <xdr:sp>
      <xdr:nvSpPr>
        <xdr:cNvPr id="8" name="Line 11"/>
        <xdr:cNvSpPr>
          <a:spLocks/>
        </xdr:cNvSpPr>
      </xdr:nvSpPr>
      <xdr:spPr>
        <a:xfrm>
          <a:off x="1171575" y="105537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5</xdr:col>
      <xdr:colOff>180975</xdr:colOff>
      <xdr:row>0</xdr:row>
      <xdr:rowOff>85725</xdr:rowOff>
    </xdr:from>
    <xdr:to>
      <xdr:col>12</xdr:col>
      <xdr:colOff>9525</xdr:colOff>
      <xdr:row>13</xdr:row>
      <xdr:rowOff>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85725"/>
          <a:ext cx="389572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J58"/>
  <sheetViews>
    <sheetView tabSelected="1" zoomScale="60" zoomScaleNormal="60" zoomScaleSheetLayoutView="80" zoomScalePageLayoutView="0" workbookViewId="0" topLeftCell="A1">
      <selection activeCell="I17" sqref="I17"/>
    </sheetView>
  </sheetViews>
  <sheetFormatPr defaultColWidth="9.00390625" defaultRowHeight="13.5"/>
  <cols>
    <col min="1" max="1" width="2.625" style="90" customWidth="1"/>
    <col min="2" max="2" width="19.00390625" style="90" customWidth="1"/>
    <col min="3" max="3" width="15.625" style="89" customWidth="1"/>
    <col min="4" max="6" width="15.625" style="90" customWidth="1"/>
    <col min="7" max="7" width="13.125" style="90" customWidth="1"/>
    <col min="8" max="8" width="21.00390625" style="90" customWidth="1"/>
    <col min="9" max="9" width="30.25390625" style="90" customWidth="1"/>
    <col min="10" max="10" width="39.25390625" style="90" customWidth="1"/>
    <col min="11" max="16384" width="9.00390625" style="90" customWidth="1"/>
  </cols>
  <sheetData>
    <row r="1" spans="2:3" s="131" customFormat="1" ht="25.5">
      <c r="B1" s="131" t="s">
        <v>191</v>
      </c>
      <c r="C1" s="132"/>
    </row>
    <row r="2" ht="9.75" customHeight="1">
      <c r="B2" s="88"/>
    </row>
    <row r="3" spans="3:10" ht="18.75" thickBot="1">
      <c r="C3" s="91" t="s">
        <v>200</v>
      </c>
      <c r="H3" s="92" t="s">
        <v>192</v>
      </c>
      <c r="I3" s="92" t="s">
        <v>195</v>
      </c>
      <c r="J3" s="93" t="s">
        <v>199</v>
      </c>
    </row>
    <row r="4" spans="2:10" ht="18">
      <c r="B4" s="141" t="s">
        <v>192</v>
      </c>
      <c r="C4" s="139">
        <v>3</v>
      </c>
      <c r="D4" s="156"/>
      <c r="H4" s="92">
        <v>1</v>
      </c>
      <c r="I4" s="94" t="s">
        <v>127</v>
      </c>
      <c r="J4" s="92">
        <v>42</v>
      </c>
    </row>
    <row r="5" spans="2:10" ht="18">
      <c r="B5" s="142"/>
      <c r="C5" s="140"/>
      <c r="D5" s="156"/>
      <c r="H5" s="92">
        <v>2</v>
      </c>
      <c r="I5" s="94" t="s">
        <v>193</v>
      </c>
      <c r="J5" s="92">
        <v>55</v>
      </c>
    </row>
    <row r="6" spans="2:10" ht="18">
      <c r="B6" s="155" t="s">
        <v>195</v>
      </c>
      <c r="C6" s="159" t="str">
        <f>VLOOKUP(C4,H4:I6,2,FALSE)</f>
        <v>SPT1009</v>
      </c>
      <c r="D6" s="95"/>
      <c r="H6" s="92">
        <v>3</v>
      </c>
      <c r="I6" s="94" t="s">
        <v>194</v>
      </c>
      <c r="J6" s="92">
        <v>90</v>
      </c>
    </row>
    <row r="7" spans="2:3" ht="18">
      <c r="B7" s="155"/>
      <c r="C7" s="160"/>
    </row>
    <row r="8" spans="2:4" ht="18">
      <c r="B8" s="155" t="s">
        <v>196</v>
      </c>
      <c r="C8" s="135">
        <v>1</v>
      </c>
      <c r="D8" s="134"/>
    </row>
    <row r="9" spans="2:4" ht="18">
      <c r="B9" s="155"/>
      <c r="C9" s="136"/>
      <c r="D9" s="134"/>
    </row>
    <row r="10" spans="2:9" ht="18">
      <c r="B10" s="155" t="s">
        <v>197</v>
      </c>
      <c r="C10" s="151">
        <v>2.5</v>
      </c>
      <c r="D10" s="134" t="s">
        <v>3</v>
      </c>
      <c r="H10" s="96"/>
      <c r="I10" s="97"/>
    </row>
    <row r="11" spans="2:9" ht="18">
      <c r="B11" s="155"/>
      <c r="C11" s="152"/>
      <c r="D11" s="134"/>
      <c r="H11" s="96"/>
      <c r="I11" s="97"/>
    </row>
    <row r="12" spans="2:9" ht="18">
      <c r="B12" s="155" t="s">
        <v>208</v>
      </c>
      <c r="C12" s="137">
        <v>5000</v>
      </c>
      <c r="D12" s="134" t="s">
        <v>45</v>
      </c>
      <c r="H12" s="96"/>
      <c r="I12" s="97"/>
    </row>
    <row r="13" spans="2:9" ht="18">
      <c r="B13" s="155"/>
      <c r="C13" s="138"/>
      <c r="D13" s="134"/>
      <c r="H13" s="96"/>
      <c r="I13" s="97"/>
    </row>
    <row r="14" spans="2:9" ht="18">
      <c r="B14" s="157" t="s">
        <v>207</v>
      </c>
      <c r="C14" s="98" t="s">
        <v>110</v>
      </c>
      <c r="G14" s="89"/>
      <c r="H14" s="96"/>
      <c r="I14" s="97"/>
    </row>
    <row r="15" spans="2:9" ht="18.75" thickBot="1">
      <c r="B15" s="158"/>
      <c r="C15" s="133" t="s">
        <v>77</v>
      </c>
      <c r="G15" s="89"/>
      <c r="H15" s="96"/>
      <c r="I15" s="97"/>
    </row>
    <row r="16" spans="2:9" ht="16.5" customHeight="1" thickBot="1">
      <c r="B16" s="90" t="s">
        <v>198</v>
      </c>
      <c r="G16" s="89"/>
      <c r="H16" s="96"/>
      <c r="I16" s="97"/>
    </row>
    <row r="17" spans="2:9" ht="15.75" customHeight="1">
      <c r="B17" s="145" t="s">
        <v>201</v>
      </c>
      <c r="C17" s="147" t="s">
        <v>202</v>
      </c>
      <c r="D17" s="149" t="s">
        <v>205</v>
      </c>
      <c r="E17" s="149" t="s">
        <v>204</v>
      </c>
      <c r="F17" s="143" t="s">
        <v>203</v>
      </c>
      <c r="G17" s="97"/>
      <c r="H17" s="96"/>
      <c r="I17" s="97"/>
    </row>
    <row r="18" spans="2:9" ht="15.75" customHeight="1" thickBot="1">
      <c r="B18" s="146"/>
      <c r="C18" s="148"/>
      <c r="D18" s="150"/>
      <c r="E18" s="150"/>
      <c r="F18" s="144"/>
      <c r="G18" s="97"/>
      <c r="H18" s="96"/>
      <c r="I18" s="97"/>
    </row>
    <row r="19" spans="2:9" ht="15.75" customHeight="1" thickTop="1">
      <c r="B19" s="99" t="str">
        <f>'条件'!A27</f>
        <v>0°　　</v>
      </c>
      <c r="C19" s="100">
        <f>IF(AND('条件'!$J27=0,'条件'!$D27=0),"Turn over",IF(AND('条件'!$J27=0,'条件'!$P27=0),"Turn over",IF(AND('条件'!$D27=0,'条件'!$V27=0),"Turn over",IF(AND('条件'!$V27=0,'条件'!$P27=0),"Turn over",IF(AND('条件'!$J27&gt;0,'条件'!$D27=0,'条件'!$V27&gt;0,'条件'!$P27&gt;0),"0 kgf",ROUNDUP('条件'!D27*0.2,0)*5)))))</f>
        <v>3605</v>
      </c>
      <c r="D19" s="101">
        <f>IF(AND('条件'!$J27=0,'条件'!$D27=0),"Turn over",IF(AND('条件'!$J27=0,'条件'!$P27=0),"Turn over",IF(AND('条件'!$D27=0,'条件'!$V27=0),"Turn over",IF(AND('条件'!$V27=0,'条件'!$P27=0),"Turn over",IF(AND('条件'!$J27=0,'条件'!$D27&gt;0,'条件'!$V27&gt;0,'条件'!$P27&gt;0),"0 kgf",ROUNDUP('条件'!J27*0.2,0)*5)))))</f>
        <v>5670</v>
      </c>
      <c r="E19" s="101">
        <f>IF(AND('条件'!$J27=0,'条件'!$D27=0),"Turn over",IF(AND('条件'!$J27=0,'条件'!$P27=0),"Turn over",IF(AND('条件'!$D27=0,'条件'!$V27=0),"Turn over",IF(AND('条件'!$V27=0,'条件'!$P27=0),"Turn over",IF(AND('条件'!$J27&gt;0,'条件'!$D27&gt;0,'条件'!$V27&gt;0,'条件'!$P27=0),"0 kgf",ROUNDUP('条件'!P27*0.2,0)*5)))))</f>
        <v>5670</v>
      </c>
      <c r="F19" s="102">
        <f>IF(AND('条件'!$J27=0,'条件'!$D27=0),"Turn over",IF(AND('条件'!$J27=0,'条件'!$P27=0),"Turn over",IF(AND('条件'!$D27=0,'条件'!$V27=0),"Turn over",IF(AND('条件'!$V27=0,'条件'!$P27=0),"Turn over",IF(AND('条件'!$J27&gt;0,'条件'!$D27&gt;0,'条件'!$V27=0,'条件'!$P27&gt;0),"0 kgf",ROUNDUP('条件'!V27*0.2,0)*5)))))</f>
        <v>3605</v>
      </c>
      <c r="G19" s="103">
        <f>SUM(C19:F19)</f>
        <v>18550</v>
      </c>
      <c r="H19" s="96"/>
      <c r="I19" s="97"/>
    </row>
    <row r="20" spans="2:9" ht="15.75" customHeight="1">
      <c r="B20" s="104" t="str">
        <f>'条件'!A28</f>
        <v>5°　　</v>
      </c>
      <c r="C20" s="105">
        <f>IF(AND('条件'!$J28=0,'条件'!$D28=0),"Turn over",IF(AND('条件'!$J28=0,'条件'!$P28=0),"Turn over",IF(AND('条件'!$D28=0,'条件'!$V28=0),"Turn over",IF(AND('条件'!$V28=0,'条件'!$P28=0),"Turn over",IF(AND('条件'!$J28&gt;0,'条件'!$D28=0,'条件'!$V28&gt;0,'条件'!$P28&gt;0),"0 kgf",ROUNDUP('条件'!D28*0.2,0)*5)))))</f>
        <v>3720</v>
      </c>
      <c r="D20" s="106">
        <f>IF(AND('条件'!$J28=0,'条件'!$D28=0),"Turn over",IF(AND('条件'!$J28=0,'条件'!$P28=0),"Turn over",IF(AND('条件'!$D28=0,'条件'!$V28=0),"Turn over",IF(AND('条件'!$V28=0,'条件'!$P28=0),"Turn over",IF(AND('条件'!$J28=0,'条件'!$D28&gt;0,'条件'!$V28&gt;0,'条件'!$P28&gt;0),"0 kgf",ROUNDUP('条件'!J28*0.2,0)*5)))))</f>
        <v>5770</v>
      </c>
      <c r="E20" s="106">
        <f>IF(AND('条件'!$J28=0,'条件'!$D28=0),"Turn over",IF(AND('条件'!$J28=0,'条件'!$P28=0),"Turn over",IF(AND('条件'!$D28=0,'条件'!$V28=0),"Turn over",IF(AND('条件'!$V28=0,'条件'!$P28=0),"Turn over",IF(AND('条件'!$J28&gt;0,'条件'!$D28&gt;0,'条件'!$V28&gt;0,'条件'!$P28=0),"0 kgf",ROUNDUP('条件'!P28*0.2,0)*5)))))</f>
        <v>5555</v>
      </c>
      <c r="F20" s="107">
        <f>IF(AND('条件'!$J28=0,'条件'!$D28=0),"Turn over",IF(AND('条件'!$J28=0,'条件'!$P28=0),"Turn over",IF(AND('条件'!$D28=0,'条件'!$V28=0),"Turn over",IF(AND('条件'!$V28=0,'条件'!$P28=0),"Turn over",IF(AND('条件'!$J28&gt;0,'条件'!$D28&gt;0,'条件'!$V28=0,'条件'!$P28&gt;0),"0 kgf",ROUNDUP('条件'!V28*0.2,0)*5)))))</f>
        <v>3500</v>
      </c>
      <c r="G20" s="103">
        <f aca="true" t="shared" si="0" ref="G20:G55">SUM(C20:F20)</f>
        <v>18545</v>
      </c>
      <c r="H20" s="96"/>
      <c r="I20" s="97"/>
    </row>
    <row r="21" spans="2:7" ht="15.75" customHeight="1">
      <c r="B21" s="104" t="str">
        <f>'条件'!A29</f>
        <v>10°　　</v>
      </c>
      <c r="C21" s="105">
        <f>IF(AND('条件'!$J29=0,'条件'!$D29=0),"Turn over",IF(AND('条件'!$J29=0,'条件'!$P29=0),"Turn over",IF(AND('条件'!$D29=0,'条件'!$V29=0),"Turn over",IF(AND('条件'!$V29=0,'条件'!$P29=0),"Turn over",IF(AND('条件'!$J29&gt;0,'条件'!$D29=0,'条件'!$V29&gt;0,'条件'!$P29&gt;0),"0 kgf",ROUNDUP('条件'!D29*0.2,0)*5)))))</f>
        <v>3845</v>
      </c>
      <c r="D21" s="106">
        <f>IF(AND('条件'!$J29=0,'条件'!$D29=0),"Turn over",IF(AND('条件'!$J29=0,'条件'!$P29=0),"Turn over",IF(AND('条件'!$D29=0,'条件'!$V29=0),"Turn over",IF(AND('条件'!$V29=0,'条件'!$P29=0),"Turn over",IF(AND('条件'!$J29=0,'条件'!$D29&gt;0,'条件'!$V29&gt;0,'条件'!$P29&gt;0),"0 kgf",ROUNDUP('条件'!J29*0.2,0)*5)))))</f>
        <v>5865</v>
      </c>
      <c r="E21" s="106">
        <f>IF(AND('条件'!$J29=0,'条件'!$D29=0),"Turn over",IF(AND('条件'!$J29=0,'条件'!$P29=0),"Turn over",IF(AND('条件'!$D29=0,'条件'!$V29=0),"Turn over",IF(AND('条件'!$V29=0,'条件'!$P29=0),"Turn over",IF(AND('条件'!$J29&gt;0,'条件'!$D29&gt;0,'条件'!$V29&gt;0,'条件'!$P29=0),"0 kgf",ROUNDUP('条件'!P29*0.2,0)*5)))))</f>
        <v>5435</v>
      </c>
      <c r="F21" s="107">
        <f>IF(AND('条件'!$J29=0,'条件'!$D29=0),"Turn over",IF(AND('条件'!$J29=0,'条件'!$P29=0),"Turn over",IF(AND('条件'!$D29=0,'条件'!$V29=0),"Turn over",IF(AND('条件'!$V29=0,'条件'!$P29=0),"Turn over",IF(AND('条件'!$J29&gt;0,'条件'!$D29&gt;0,'条件'!$V29=0,'条件'!$P29&gt;0),"0 kgf",ROUNDUP('条件'!V29*0.2,0)*5)))))</f>
        <v>3405</v>
      </c>
      <c r="G21" s="103">
        <f t="shared" si="0"/>
        <v>18550</v>
      </c>
    </row>
    <row r="22" spans="2:9" ht="15.75" customHeight="1">
      <c r="B22" s="104" t="str">
        <f>'条件'!A30</f>
        <v>15°　　</v>
      </c>
      <c r="C22" s="105">
        <f>IF(AND('条件'!$J30=0,'条件'!$D30=0),"Turn over",IF(AND('条件'!$J30=0,'条件'!$P30=0),"Turn over",IF(AND('条件'!$D30=0,'条件'!$V30=0),"Turn over",IF(AND('条件'!$V30=0,'条件'!$P30=0),"Turn over",IF(AND('条件'!$J30&gt;0,'条件'!$D30=0,'条件'!$V30&gt;0,'条件'!$P30&gt;0),"0 kgf",ROUNDUP('条件'!D30*0.2,0)*5)))))</f>
        <v>3975</v>
      </c>
      <c r="D22" s="106">
        <f>IF(AND('条件'!$J30=0,'条件'!$D30=0),"Turn over",IF(AND('条件'!$J30=0,'条件'!$P30=0),"Turn over",IF(AND('条件'!$D30=0,'条件'!$V30=0),"Turn over",IF(AND('条件'!$V30=0,'条件'!$P30=0),"Turn over",IF(AND('条件'!$J30=0,'条件'!$D30&gt;0,'条件'!$V30&gt;0,'条件'!$P30&gt;0),"0 kgf",ROUNDUP('条件'!J30*0.2,0)*5)))))</f>
        <v>5945</v>
      </c>
      <c r="E22" s="106">
        <f>IF(AND('条件'!$J30=0,'条件'!$D30=0),"Turn over",IF(AND('条件'!$J30=0,'条件'!$P30=0),"Turn over",IF(AND('条件'!$D30=0,'条件'!$V30=0),"Turn over",IF(AND('条件'!$V30=0,'条件'!$P30=0),"Turn over",IF(AND('条件'!$J30&gt;0,'条件'!$D30&gt;0,'条件'!$V30&gt;0,'条件'!$P30=0),"0 kgf",ROUNDUP('条件'!P30*0.2,0)*5)))))</f>
        <v>5305</v>
      </c>
      <c r="F22" s="107">
        <f>IF(AND('条件'!$J30=0,'条件'!$D30=0),"Turn over",IF(AND('条件'!$J30=0,'条件'!$P30=0),"Turn over",IF(AND('条件'!$D30=0,'条件'!$V30=0),"Turn over",IF(AND('条件'!$V30=0,'条件'!$P30=0),"Turn over",IF(AND('条件'!$J30&gt;0,'条件'!$D30&gt;0,'条件'!$V30=0,'条件'!$P30&gt;0),"0 kgf",ROUNDUP('条件'!V30*0.2,0)*5)))))</f>
        <v>3325</v>
      </c>
      <c r="G22" s="103">
        <f t="shared" si="0"/>
        <v>18550</v>
      </c>
      <c r="I22" s="108"/>
    </row>
    <row r="23" spans="2:7" ht="15.75" customHeight="1">
      <c r="B23" s="104" t="str">
        <f>'条件'!A31</f>
        <v>20°　　</v>
      </c>
      <c r="C23" s="105">
        <f>IF(AND('条件'!$J31=0,'条件'!$D31=0),"Turn over",IF(AND('条件'!$J31=0,'条件'!$P31=0),"Turn over",IF(AND('条件'!$D31=0,'条件'!$V31=0),"Turn over",IF(AND('条件'!$V31=0,'条件'!$P31=0),"Turn over",IF(AND('条件'!$J31&gt;0,'条件'!$D31=0,'条件'!$V31&gt;0,'条件'!$P31&gt;0),"0 kgf",ROUNDUP('条件'!D31*0.2,0)*5)))))</f>
        <v>4115</v>
      </c>
      <c r="D23" s="106">
        <f>IF(AND('条件'!$J31=0,'条件'!$D31=0),"Turn over",IF(AND('条件'!$J31=0,'条件'!$P31=0),"Turn over",IF(AND('条件'!$D31=0,'条件'!$V31=0),"Turn over",IF(AND('条件'!$V31=0,'条件'!$P31=0),"Turn over",IF(AND('条件'!$J31=0,'条件'!$D31&gt;0,'条件'!$V31&gt;0,'条件'!$P31&gt;0),"0 kgf",ROUNDUP('条件'!J31*0.2,0)*5)))))</f>
        <v>6015</v>
      </c>
      <c r="E23" s="106">
        <f>IF(AND('条件'!$J31=0,'条件'!$D31=0),"Turn over",IF(AND('条件'!$J31=0,'条件'!$P31=0),"Turn over",IF(AND('条件'!$D31=0,'条件'!$V31=0),"Turn over",IF(AND('条件'!$V31=0,'条件'!$P31=0),"Turn over",IF(AND('条件'!$J31&gt;0,'条件'!$D31&gt;0,'条件'!$V31&gt;0,'条件'!$P31=0),"0 kgf",ROUNDUP('条件'!P31*0.2,0)*5)))))</f>
        <v>5165</v>
      </c>
      <c r="F23" s="107">
        <f>IF(AND('条件'!$J31=0,'条件'!$D31=0),"Turn over",IF(AND('条件'!$J31=0,'条件'!$P31=0),"Turn over",IF(AND('条件'!$D31=0,'条件'!$V31=0),"Turn over",IF(AND('条件'!$V31=0,'条件'!$P31=0),"Turn over",IF(AND('条件'!$J31&gt;0,'条件'!$D31&gt;0,'条件'!$V31=0,'条件'!$P31&gt;0),"0 kgf",ROUNDUP('条件'!V31*0.2,0)*5)))))</f>
        <v>3255</v>
      </c>
      <c r="G23" s="103">
        <f t="shared" si="0"/>
        <v>18550</v>
      </c>
    </row>
    <row r="24" spans="2:7" ht="15.75" customHeight="1">
      <c r="B24" s="104" t="str">
        <f>'条件'!A32</f>
        <v>25°　　</v>
      </c>
      <c r="C24" s="105">
        <f>IF(AND('条件'!$J32=0,'条件'!$D32=0),"Turn over",IF(AND('条件'!$J32=0,'条件'!$P32=0),"Turn over",IF(AND('条件'!$D32=0,'条件'!$V32=0),"Turn over",IF(AND('条件'!$V32=0,'条件'!$P32=0),"Turn over",IF(AND('条件'!$J32&gt;0,'条件'!$D32=0,'条件'!$V32&gt;0,'条件'!$P32&gt;0),"0 kgf",ROUNDUP('条件'!D32*0.2,0)*5)))))</f>
        <v>4260</v>
      </c>
      <c r="D24" s="106">
        <f>IF(AND('条件'!$J32=0,'条件'!$D32=0),"Turn over",IF(AND('条件'!$J32=0,'条件'!$P32=0),"Turn over",IF(AND('条件'!$D32=0,'条件'!$V32=0),"Turn over",IF(AND('条件'!$V32=0,'条件'!$P32=0),"Turn over",IF(AND('条件'!$J32=0,'条件'!$D32&gt;0,'条件'!$V32&gt;0,'条件'!$P32&gt;0),"0 kgf",ROUNDUP('条件'!J32*0.2,0)*5)))))</f>
        <v>6070</v>
      </c>
      <c r="E24" s="106">
        <f>IF(AND('条件'!$J32=0,'条件'!$D32=0),"Turn over",IF(AND('条件'!$J32=0,'条件'!$P32=0),"Turn over",IF(AND('条件'!$D32=0,'条件'!$V32=0),"Turn over",IF(AND('条件'!$V32=0,'条件'!$P32=0),"Turn over",IF(AND('条件'!$J32&gt;0,'条件'!$D32&gt;0,'条件'!$V32&gt;0,'条件'!$P32=0),"0 kgf",ROUNDUP('条件'!P32*0.2,0)*5)))))</f>
        <v>5025</v>
      </c>
      <c r="F24" s="107">
        <f>IF(AND('条件'!$J32=0,'条件'!$D32=0),"Turn over",IF(AND('条件'!$J32=0,'条件'!$P32=0),"Turn over",IF(AND('条件'!$D32=0,'条件'!$V32=0),"Turn over",IF(AND('条件'!$V32=0,'条件'!$P32=0),"Turn over",IF(AND('条件'!$J32&gt;0,'条件'!$D32&gt;0,'条件'!$V32=0,'条件'!$P32&gt;0),"0 kgf",ROUNDUP('条件'!V32*0.2,0)*5)))))</f>
        <v>3195</v>
      </c>
      <c r="G24" s="103">
        <f t="shared" si="0"/>
        <v>18550</v>
      </c>
    </row>
    <row r="25" spans="2:7" ht="15.75" customHeight="1">
      <c r="B25" s="104" t="str">
        <f>'条件'!A33</f>
        <v>30°　　</v>
      </c>
      <c r="C25" s="105">
        <f>IF(AND('条件'!$J33=0,'条件'!$D33=0),"Turn over",IF(AND('条件'!$J33=0,'条件'!$P33=0),"Turn over",IF(AND('条件'!$D33=0,'条件'!$V33=0),"Turn over",IF(AND('条件'!$V33=0,'条件'!$P33=0),"Turn over",IF(AND('条件'!$J33&gt;0,'条件'!$D33=0,'条件'!$V33&gt;0,'条件'!$P33&gt;0),"0 kgf",ROUNDUP('条件'!D33*0.2,0)*5)))))</f>
        <v>4410</v>
      </c>
      <c r="D25" s="106">
        <f>IF(AND('条件'!$J33=0,'条件'!$D33=0),"Turn over",IF(AND('条件'!$J33=0,'条件'!$P33=0),"Turn over",IF(AND('条件'!$D33=0,'条件'!$V33=0),"Turn over",IF(AND('条件'!$V33=0,'条件'!$P33=0),"Turn over",IF(AND('条件'!$J33=0,'条件'!$D33&gt;0,'条件'!$V33&gt;0,'条件'!$P33&gt;0),"0 kgf",ROUNDUP('条件'!J33*0.2,0)*5)))))</f>
        <v>6115</v>
      </c>
      <c r="E25" s="106">
        <f>IF(AND('条件'!$J33=0,'条件'!$D33=0),"Turn over",IF(AND('条件'!$J33=0,'条件'!$P33=0),"Turn over",IF(AND('条件'!$D33=0,'条件'!$V33=0),"Turn over",IF(AND('条件'!$V33=0,'条件'!$P33=0),"Turn over",IF(AND('条件'!$J33&gt;0,'条件'!$D33&gt;0,'条件'!$V33&gt;0,'条件'!$P33=0),"0 kgf",ROUNDUP('条件'!P33*0.2,0)*5)))))</f>
        <v>4875</v>
      </c>
      <c r="F25" s="107">
        <f>IF(AND('条件'!$J33=0,'条件'!$D33=0),"Turn over",IF(AND('条件'!$J33=0,'条件'!$P33=0),"Turn over",IF(AND('条件'!$D33=0,'条件'!$V33=0),"Turn over",IF(AND('条件'!$V33=0,'条件'!$P33=0),"Turn over",IF(AND('条件'!$J33&gt;0,'条件'!$D33&gt;0,'条件'!$V33=0,'条件'!$P33&gt;0),"0 kgf",ROUNDUP('条件'!V33*0.2,0)*5)))))</f>
        <v>3150</v>
      </c>
      <c r="G25" s="103">
        <f t="shared" si="0"/>
        <v>18550</v>
      </c>
    </row>
    <row r="26" spans="2:7" ht="15.75" customHeight="1">
      <c r="B26" s="104" t="str">
        <f>'条件'!A34</f>
        <v>35°　　</v>
      </c>
      <c r="C26" s="105">
        <f>IF(AND('条件'!$J34=0,'条件'!$D34=0),"Turn over",IF(AND('条件'!$J34=0,'条件'!$P34=0),"Turn over",IF(AND('条件'!$D34=0,'条件'!$V34=0),"Turn over",IF(AND('条件'!$V34=0,'条件'!$P34=0),"Turn over",IF(AND('条件'!$J34&gt;0,'条件'!$D34=0,'条件'!$V34&gt;0,'条件'!$P34&gt;0),"0 kgf",ROUNDUP('条件'!D34*0.2,0)*5)))))</f>
        <v>4565</v>
      </c>
      <c r="D26" s="106">
        <f>IF(AND('条件'!$J34=0,'条件'!$D34=0),"Turn over",IF(AND('条件'!$J34=0,'条件'!$P34=0),"Turn over",IF(AND('条件'!$D34=0,'条件'!$V34=0),"Turn over",IF(AND('条件'!$V34=0,'条件'!$P34=0),"Turn over",IF(AND('条件'!$J34=0,'条件'!$D34&gt;0,'条件'!$V34&gt;0,'条件'!$P34&gt;0),"0 kgf",ROUNDUP('条件'!J34*0.2,0)*5)))))</f>
        <v>6145</v>
      </c>
      <c r="E26" s="106">
        <f>IF(AND('条件'!$J34=0,'条件'!$D34=0),"Turn over",IF(AND('条件'!$J34=0,'条件'!$P34=0),"Turn over",IF(AND('条件'!$D34=0,'条件'!$V34=0),"Turn over",IF(AND('条件'!$V34=0,'条件'!$P34=0),"Turn over",IF(AND('条件'!$J34&gt;0,'条件'!$D34&gt;0,'条件'!$V34&gt;0,'条件'!$P34=0),"0 kgf",ROUNDUP('条件'!P34*0.2,0)*5)))))</f>
        <v>4725</v>
      </c>
      <c r="F26" s="107">
        <f>IF(AND('条件'!$J34=0,'条件'!$D34=0),"Turn over",IF(AND('条件'!$J34=0,'条件'!$P34=0),"Turn over",IF(AND('条件'!$D34=0,'条件'!$V34=0),"Turn over",IF(AND('条件'!$V34=0,'条件'!$P34=0),"Turn over",IF(AND('条件'!$J34&gt;0,'条件'!$D34&gt;0,'条件'!$V34=0,'条件'!$P34&gt;0),"0 kgf",ROUNDUP('条件'!V34*0.2,0)*5)))))</f>
        <v>3115</v>
      </c>
      <c r="G26" s="103">
        <f t="shared" si="0"/>
        <v>18550</v>
      </c>
    </row>
    <row r="27" spans="2:7" ht="15.75" customHeight="1">
      <c r="B27" s="104" t="str">
        <f>'条件'!A35</f>
        <v>40°　　</v>
      </c>
      <c r="C27" s="105">
        <f>IF(AND('条件'!$J35=0,'条件'!$D35=0),"Turn over",IF(AND('条件'!$J35=0,'条件'!$P35=0),"Turn over",IF(AND('条件'!$D35=0,'条件'!$V35=0),"Turn over",IF(AND('条件'!$V35=0,'条件'!$P35=0),"Turn over",IF(AND('条件'!$J35&gt;0,'条件'!$D35=0,'条件'!$V35&gt;0,'条件'!$P35&gt;0),"0 kgf",ROUNDUP('条件'!D35*0.2,0)*5)))))</f>
        <v>4720</v>
      </c>
      <c r="D27" s="106">
        <f>IF(AND('条件'!$J35=0,'条件'!$D35=0),"Turn over",IF(AND('条件'!$J35=0,'条件'!$P35=0),"Turn over",IF(AND('条件'!$D35=0,'条件'!$V35=0),"Turn over",IF(AND('条件'!$V35=0,'条件'!$P35=0),"Turn over",IF(AND('条件'!$J35=0,'条件'!$D35&gt;0,'条件'!$V35&gt;0,'条件'!$P35&gt;0),"0 kgf",ROUNDUP('条件'!J35*0.2,0)*5)))))</f>
        <v>6160</v>
      </c>
      <c r="E27" s="106">
        <f>IF(AND('条件'!$J35=0,'条件'!$D35=0),"Turn over",IF(AND('条件'!$J35=0,'条件'!$P35=0),"Turn over",IF(AND('条件'!$D35=0,'条件'!$V35=0),"Turn over",IF(AND('条件'!$V35=0,'条件'!$P35=0),"Turn over",IF(AND('条件'!$J35&gt;0,'条件'!$D35&gt;0,'条件'!$V35&gt;0,'条件'!$P35=0),"0 kgf",ROUNDUP('条件'!P35*0.2,0)*5)))))</f>
        <v>4570</v>
      </c>
      <c r="F27" s="107">
        <f>IF(AND('条件'!$J35=0,'条件'!$D35=0),"Turn over",IF(AND('条件'!$J35=0,'条件'!$P35=0),"Turn over",IF(AND('条件'!$D35=0,'条件'!$V35=0),"Turn over",IF(AND('条件'!$V35=0,'条件'!$P35=0),"Turn over",IF(AND('条件'!$J35&gt;0,'条件'!$D35&gt;0,'条件'!$V35=0,'条件'!$P35&gt;0),"0 kgf",ROUNDUP('条件'!V35*0.2,0)*5)))))</f>
        <v>3100</v>
      </c>
      <c r="G27" s="103">
        <f t="shared" si="0"/>
        <v>18550</v>
      </c>
    </row>
    <row r="28" spans="2:7" ht="15.75" customHeight="1">
      <c r="B28" s="109" t="str">
        <f>'条件'!A36</f>
        <v>45°　　</v>
      </c>
      <c r="C28" s="110">
        <f>IF(AND('条件'!$J36=0,'条件'!$D36=0),"Turn over",IF(AND('条件'!$J36=0,'条件'!$P36=0),"Turn over",IF(AND('条件'!$D36=0,'条件'!$V36=0),"Turn over",IF(AND('条件'!$V36=0,'条件'!$P36=0),"Turn over",IF(AND('条件'!$J36&gt;0,'条件'!$D36=0,'条件'!$V36&gt;0,'条件'!$P36&gt;0),"0 kgf",ROUNDUP('条件'!D36*0.2,0)*5)))))</f>
        <v>4875</v>
      </c>
      <c r="D28" s="111">
        <f>IF(AND('条件'!$J36=0,'条件'!$D36=0),"Turn over",IF(AND('条件'!$J36=0,'条件'!$P36=0),"Turn over",IF(AND('条件'!$D36=0,'条件'!$V36=0),"Turn over",IF(AND('条件'!$V36=0,'条件'!$P36=0),"Turn over",IF(AND('条件'!$J36=0,'条件'!$D36&gt;0,'条件'!$V36&gt;0,'条件'!$P36&gt;0),"0 kgf",ROUNDUP('条件'!J36*0.2,0)*5)))))</f>
        <v>6165</v>
      </c>
      <c r="E28" s="111">
        <f>IF(AND('条件'!$J36=0,'条件'!$D36=0),"Turn over",IF(AND('条件'!$J36=0,'条件'!$P36=0),"Turn over",IF(AND('条件'!$D36=0,'条件'!$V36=0),"Turn over",IF(AND('条件'!$V36=0,'条件'!$P36=0),"Turn over",IF(AND('条件'!$J36&gt;0,'条件'!$D36&gt;0,'条件'!$V36&gt;0,'条件'!$P36=0),"0 kgf",ROUNDUP('条件'!P36*0.2,0)*5)))))</f>
        <v>4415</v>
      </c>
      <c r="F28" s="112">
        <f>IF(AND('条件'!$J36=0,'条件'!$D36=0),"Turn over",IF(AND('条件'!$J36=0,'条件'!$P36=0),"Turn over",IF(AND('条件'!$D36=0,'条件'!$V36=0),"Turn over",IF(AND('条件'!$V36=0,'条件'!$P36=0),"Turn over",IF(AND('条件'!$J36&gt;0,'条件'!$D36&gt;0,'条件'!$V36=0,'条件'!$P36&gt;0),"0 kgf",ROUNDUP('条件'!V36*0.2,0)*5)))))</f>
        <v>3095</v>
      </c>
      <c r="G28" s="103">
        <f t="shared" si="0"/>
        <v>18550</v>
      </c>
    </row>
    <row r="29" spans="2:7" ht="15.75" customHeight="1">
      <c r="B29" s="113" t="str">
        <f>'条件'!A37</f>
        <v>50°　　</v>
      </c>
      <c r="C29" s="114">
        <f>IF(AND('条件'!$J37=0,'条件'!$D37=0),"Turn over",IF(AND('条件'!$J37=0,'条件'!$P37=0),"Turn over",IF(AND('条件'!$D37=0,'条件'!$V37=0),"Turn over",IF(AND('条件'!$V37=0,'条件'!$P37=0),"Turn over",IF(AND('条件'!$J37&gt;0,'条件'!$D37=0,'条件'!$V37&gt;0,'条件'!$P37&gt;0),"0 kgf",ROUNDUP('条件'!D37*0.2,0)*5)))))</f>
        <v>5035</v>
      </c>
      <c r="D29" s="115">
        <f>IF(AND('条件'!$J37=0,'条件'!$D37=0),"Turn over",IF(AND('条件'!$J37=0,'条件'!$P37=0),"Turn over",IF(AND('条件'!$D37=0,'条件'!$V37=0),"Turn over",IF(AND('条件'!$V37=0,'条件'!$P37=0),"Turn over",IF(AND('条件'!$J37=0,'条件'!$D37&gt;0,'条件'!$V37&gt;0,'条件'!$P37&gt;0),"0 kgf",ROUNDUP('条件'!J37*0.2,0)*5)))))</f>
        <v>6155</v>
      </c>
      <c r="E29" s="115">
        <f>IF(AND('条件'!$J37=0,'条件'!$D37=0),"Turn over",IF(AND('条件'!$J37=0,'条件'!$P37=0),"Turn over",IF(AND('条件'!$D37=0,'条件'!$V37=0),"Turn over",IF(AND('条件'!$V37=0,'条件'!$P37=0),"Turn over",IF(AND('条件'!$J37&gt;0,'条件'!$D37&gt;0,'条件'!$V37&gt;0,'条件'!$P37=0),"0 kgf",ROUNDUP('条件'!P37*0.2,0)*5)))))</f>
        <v>4255</v>
      </c>
      <c r="F29" s="116">
        <f>IF(AND('条件'!$J37=0,'条件'!$D37=0),"Turn over",IF(AND('条件'!$J37=0,'条件'!$P37=0),"Turn over",IF(AND('条件'!$D37=0,'条件'!$V37=0),"Turn over",IF(AND('条件'!$V37=0,'条件'!$P37=0),"Turn over",IF(AND('条件'!$J37&gt;0,'条件'!$D37&gt;0,'条件'!$V37=0,'条件'!$P37&gt;0),"0 kgf",ROUNDUP('条件'!V37*0.2,0)*5)))))</f>
        <v>3100</v>
      </c>
      <c r="G29" s="103">
        <f t="shared" si="0"/>
        <v>18545</v>
      </c>
    </row>
    <row r="30" spans="2:7" ht="15.75" customHeight="1">
      <c r="B30" s="104" t="str">
        <f>'条件'!A38</f>
        <v>55°　　</v>
      </c>
      <c r="C30" s="105">
        <f>IF(AND('条件'!$J38=0,'条件'!$D38=0),"Turn over",IF(AND('条件'!$J38=0,'条件'!$P38=0),"Turn over",IF(AND('条件'!$D38=0,'条件'!$V38=0),"Turn over",IF(AND('条件'!$V38=0,'条件'!$P38=0),"Turn over",IF(AND('条件'!$J38&gt;0,'条件'!$D38=0,'条件'!$V38&gt;0,'条件'!$P38&gt;0),"0 kgf",ROUNDUP('条件'!D38*0.2,0)*5)))))</f>
        <v>5190</v>
      </c>
      <c r="D30" s="106">
        <f>IF(AND('条件'!$J38=0,'条件'!$D38=0),"Turn over",IF(AND('条件'!$J38=0,'条件'!$P38=0),"Turn over",IF(AND('条件'!$D38=0,'条件'!$V38=0),"Turn over",IF(AND('条件'!$V38=0,'条件'!$P38=0),"Turn over",IF(AND('条件'!$J38=0,'条件'!$D38&gt;0,'条件'!$V38&gt;0,'条件'!$P38&gt;0),"0 kgf",ROUNDUP('条件'!J38*0.2,0)*5)))))</f>
        <v>6130</v>
      </c>
      <c r="E30" s="106">
        <f>IF(AND('条件'!$J38=0,'条件'!$D38=0),"Turn over",IF(AND('条件'!$J38=0,'条件'!$P38=0),"Turn over",IF(AND('条件'!$D38=0,'条件'!$V38=0),"Turn over",IF(AND('条件'!$V38=0,'条件'!$P38=0),"Turn over",IF(AND('条件'!$J38&gt;0,'条件'!$D38&gt;0,'条件'!$V38&gt;0,'条件'!$P38=0),"0 kgf",ROUNDUP('条件'!P38*0.2,0)*5)))))</f>
        <v>4100</v>
      </c>
      <c r="F30" s="107">
        <f>IF(AND('条件'!$J38=0,'条件'!$D38=0),"Turn over",IF(AND('条件'!$J38=0,'条件'!$P38=0),"Turn over",IF(AND('条件'!$D38=0,'条件'!$V38=0),"Turn over",IF(AND('条件'!$V38=0,'条件'!$P38=0),"Turn over",IF(AND('条件'!$J38&gt;0,'条件'!$D38&gt;0,'条件'!$V38=0,'条件'!$P38&gt;0),"0 kgf",ROUNDUP('条件'!V38*0.2,0)*5)))))</f>
        <v>3125</v>
      </c>
      <c r="G30" s="103">
        <f t="shared" si="0"/>
        <v>18545</v>
      </c>
    </row>
    <row r="31" spans="2:7" ht="15.75" customHeight="1">
      <c r="B31" s="104" t="str">
        <f>'条件'!A39</f>
        <v>60°　　</v>
      </c>
      <c r="C31" s="105">
        <f>IF(AND('条件'!$J39=0,'条件'!$D39=0),"Turn over",IF(AND('条件'!$J39=0,'条件'!$P39=0),"Turn over",IF(AND('条件'!$D39=0,'条件'!$V39=0),"Turn over",IF(AND('条件'!$V39=0,'条件'!$P39=0),"Turn over",IF(AND('条件'!$J39&gt;0,'条件'!$D39=0,'条件'!$V39&gt;0,'条件'!$P39&gt;0),"0 kgf",ROUNDUP('条件'!D39*0.2,0)*5)))))</f>
        <v>5345</v>
      </c>
      <c r="D31" s="106">
        <f>IF(AND('条件'!$J39=0,'条件'!$D39=0),"Turn over",IF(AND('条件'!$J39=0,'条件'!$P39=0),"Turn over",IF(AND('条件'!$D39=0,'条件'!$V39=0),"Turn over",IF(AND('条件'!$V39=0,'条件'!$P39=0),"Turn over",IF(AND('条件'!$J39=0,'条件'!$D39&gt;0,'条件'!$V39&gt;0,'条件'!$P39&gt;0),"0 kgf",ROUNDUP('条件'!J39*0.2,0)*5)))))</f>
        <v>6095</v>
      </c>
      <c r="E31" s="106">
        <f>IF(AND('条件'!$J39=0,'条件'!$D39=0),"Turn over",IF(AND('条件'!$J39=0,'条件'!$P39=0),"Turn over",IF(AND('条件'!$D39=0,'条件'!$V39=0),"Turn over",IF(AND('条件'!$V39=0,'条件'!$P39=0),"Turn over",IF(AND('条件'!$J39&gt;0,'条件'!$D39&gt;0,'条件'!$V39&gt;0,'条件'!$P39=0),"0 kgf",ROUNDUP('条件'!P39*0.2,0)*5)))))</f>
        <v>3950</v>
      </c>
      <c r="F31" s="107">
        <f>IF(AND('条件'!$J39=0,'条件'!$D39=0),"Turn over",IF(AND('条件'!$J39=0,'条件'!$P39=0),"Turn over",IF(AND('条件'!$D39=0,'条件'!$V39=0),"Turn over",IF(AND('条件'!$V39=0,'条件'!$P39=0),"Turn over",IF(AND('条件'!$J39&gt;0,'条件'!$D39&gt;0,'条件'!$V39=0,'条件'!$P39&gt;0),"0 kgf",ROUNDUP('条件'!V39*0.2,0)*5)))))</f>
        <v>3160</v>
      </c>
      <c r="G31" s="103">
        <f t="shared" si="0"/>
        <v>18550</v>
      </c>
    </row>
    <row r="32" spans="2:7" ht="15.75" customHeight="1">
      <c r="B32" s="104" t="str">
        <f>'条件'!A40</f>
        <v>65°　　</v>
      </c>
      <c r="C32" s="105">
        <f>IF(AND('条件'!$J40=0,'条件'!$D40=0),"Turn over",IF(AND('条件'!$J40=0,'条件'!$P40=0),"Turn over",IF(AND('条件'!$D40=0,'条件'!$V40=0),"Turn over",IF(AND('条件'!$V40=0,'条件'!$P40=0),"Turn over",IF(AND('条件'!$J40&gt;0,'条件'!$D40=0,'条件'!$V40&gt;0,'条件'!$P40&gt;0),"0 kgf",ROUNDUP('条件'!D40*0.2,0)*5)))))</f>
        <v>5495</v>
      </c>
      <c r="D32" s="106">
        <f>IF(AND('条件'!$J40=0,'条件'!$D40=0),"Turn over",IF(AND('条件'!$J40=0,'条件'!$P40=0),"Turn over",IF(AND('条件'!$D40=0,'条件'!$V40=0),"Turn over",IF(AND('条件'!$V40=0,'条件'!$P40=0),"Turn over",IF(AND('条件'!$J40=0,'条件'!$D40&gt;0,'条件'!$V40&gt;0,'条件'!$P40&gt;0),"0 kgf",ROUNDUP('条件'!J40*0.2,0)*5)))))</f>
        <v>6045</v>
      </c>
      <c r="E32" s="106">
        <f>IF(AND('条件'!$J40=0,'条件'!$D40=0),"Turn over",IF(AND('条件'!$J40=0,'条件'!$P40=0),"Turn over",IF(AND('条件'!$D40=0,'条件'!$V40=0),"Turn over",IF(AND('条件'!$V40=0,'条件'!$P40=0),"Turn over",IF(AND('条件'!$J40&gt;0,'条件'!$D40&gt;0,'条件'!$V40&gt;0,'条件'!$P40=0),"0 kgf",ROUNDUP('条件'!P40*0.2,0)*5)))))</f>
        <v>3800</v>
      </c>
      <c r="F32" s="107">
        <f>IF(AND('条件'!$J40=0,'条件'!$D40=0),"Turn over",IF(AND('条件'!$J40=0,'条件'!$P40=0),"Turn over",IF(AND('条件'!$D40=0,'条件'!$V40=0),"Turn over",IF(AND('条件'!$V40=0,'条件'!$P40=0),"Turn over",IF(AND('条件'!$J40&gt;0,'条件'!$D40&gt;0,'条件'!$V40=0,'条件'!$P40&gt;0),"0 kgf",ROUNDUP('条件'!V40*0.2,0)*5)))))</f>
        <v>3210</v>
      </c>
      <c r="G32" s="103">
        <f t="shared" si="0"/>
        <v>18550</v>
      </c>
    </row>
    <row r="33" spans="2:7" ht="15.75" customHeight="1">
      <c r="B33" s="104" t="str">
        <f>'条件'!A41</f>
        <v>70°　　</v>
      </c>
      <c r="C33" s="105">
        <f>IF(AND('条件'!$J41=0,'条件'!$D41=0),"Turn over",IF(AND('条件'!$J41=0,'条件'!$P41=0),"Turn over",IF(AND('条件'!$D41=0,'条件'!$V41=0),"Turn over",IF(AND('条件'!$V41=0,'条件'!$P41=0),"Turn over",IF(AND('条件'!$J41&gt;0,'条件'!$D41=0,'条件'!$V41&gt;0,'条件'!$P41&gt;0),"0 kgf",ROUNDUP('条件'!D41*0.2,0)*5)))))</f>
        <v>5640</v>
      </c>
      <c r="D33" s="106">
        <f>IF(AND('条件'!$J41=0,'条件'!$D41=0),"Turn over",IF(AND('条件'!$J41=0,'条件'!$P41=0),"Turn over",IF(AND('条件'!$D41=0,'条件'!$V41=0),"Turn over",IF(AND('条件'!$V41=0,'条件'!$P41=0),"Turn over",IF(AND('条件'!$J41=0,'条件'!$D41&gt;0,'条件'!$V41&gt;0,'条件'!$P41&gt;0),"0 kgf",ROUNDUP('条件'!J41*0.2,0)*5)))))</f>
        <v>5980</v>
      </c>
      <c r="E33" s="106">
        <f>IF(AND('条件'!$J41=0,'条件'!$D41=0),"Turn over",IF(AND('条件'!$J41=0,'条件'!$P41=0),"Turn over",IF(AND('条件'!$D41=0,'条件'!$V41=0),"Turn over",IF(AND('条件'!$V41=0,'条件'!$P41=0),"Turn over",IF(AND('条件'!$J41&gt;0,'条件'!$D41&gt;0,'条件'!$V41&gt;0,'条件'!$P41=0),"0 kgf",ROUNDUP('条件'!P41*0.2,0)*5)))))</f>
        <v>3655</v>
      </c>
      <c r="F33" s="107">
        <f>IF(AND('条件'!$J41=0,'条件'!$D41=0),"Turn over",IF(AND('条件'!$J41=0,'条件'!$P41=0),"Turn over",IF(AND('条件'!$D41=0,'条件'!$V41=0),"Turn over",IF(AND('条件'!$V41=0,'条件'!$P41=0),"Turn over",IF(AND('条件'!$J41&gt;0,'条件'!$D41&gt;0,'条件'!$V41=0,'条件'!$P41&gt;0),"0 kgf",ROUNDUP('条件'!V41*0.2,0)*5)))))</f>
        <v>3270</v>
      </c>
      <c r="G33" s="103">
        <f t="shared" si="0"/>
        <v>18545</v>
      </c>
    </row>
    <row r="34" spans="2:7" ht="15.75" customHeight="1">
      <c r="B34" s="104" t="str">
        <f>'条件'!A42</f>
        <v>75°　　</v>
      </c>
      <c r="C34" s="105">
        <f>IF(AND('条件'!$J42=0,'条件'!$D42=0),"Turn over",IF(AND('条件'!$J42=0,'条件'!$P42=0),"Turn over",IF(AND('条件'!$D42=0,'条件'!$V42=0),"Turn over",IF(AND('条件'!$V42=0,'条件'!$P42=0),"Turn over",IF(AND('条件'!$J42&gt;0,'条件'!$D42=0,'条件'!$V42&gt;0,'条件'!$P42&gt;0),"0 kgf",ROUNDUP('条件'!D42*0.2,0)*5)))))</f>
        <v>5780</v>
      </c>
      <c r="D34" s="106">
        <f>IF(AND('条件'!$J42=0,'条件'!$D42=0),"Turn over",IF(AND('条件'!$J42=0,'条件'!$P42=0),"Turn over",IF(AND('条件'!$D42=0,'条件'!$V42=0),"Turn over",IF(AND('条件'!$V42=0,'条件'!$P42=0),"Turn over",IF(AND('条件'!$J42=0,'条件'!$D42&gt;0,'条件'!$V42&gt;0,'条件'!$P42&gt;0),"0 kgf",ROUNDUP('条件'!J42*0.2,0)*5)))))</f>
        <v>5910</v>
      </c>
      <c r="E34" s="106">
        <f>IF(AND('条件'!$J42=0,'条件'!$D42=0),"Turn over",IF(AND('条件'!$J42=0,'条件'!$P42=0),"Turn over",IF(AND('条件'!$D42=0,'条件'!$V42=0),"Turn over",IF(AND('条件'!$V42=0,'条件'!$P42=0),"Turn over",IF(AND('条件'!$J42&gt;0,'条件'!$D42&gt;0,'条件'!$V42&gt;0,'条件'!$P42=0),"0 kgf",ROUNDUP('条件'!P42*0.2,0)*5)))))</f>
        <v>3515</v>
      </c>
      <c r="F34" s="107">
        <f>IF(AND('条件'!$J42=0,'条件'!$D42=0),"Turn over",IF(AND('条件'!$J42=0,'条件'!$P42=0),"Turn over",IF(AND('条件'!$D42=0,'条件'!$V42=0),"Turn over",IF(AND('条件'!$V42=0,'条件'!$P42=0),"Turn over",IF(AND('条件'!$J42&gt;0,'条件'!$D42&gt;0,'条件'!$V42=0,'条件'!$P42&gt;0),"0 kgf",ROUNDUP('条件'!V42*0.2,0)*5)))))</f>
        <v>3345</v>
      </c>
      <c r="G34" s="103">
        <f t="shared" si="0"/>
        <v>18550</v>
      </c>
    </row>
    <row r="35" spans="2:7" ht="15.75" customHeight="1">
      <c r="B35" s="104" t="str">
        <f>'条件'!A43</f>
        <v>80°　　</v>
      </c>
      <c r="C35" s="105">
        <f>IF(AND('条件'!$J43=0,'条件'!$D43=0),"Turn over",IF(AND('条件'!$J43=0,'条件'!$P43=0),"Turn over",IF(AND('条件'!$D43=0,'条件'!$V43=0),"Turn over",IF(AND('条件'!$V43=0,'条件'!$P43=0),"Turn over",IF(AND('条件'!$J43&gt;0,'条件'!$D43=0,'条件'!$V43&gt;0,'条件'!$P43&gt;0),"0 kgf",ROUNDUP('条件'!D43*0.2,0)*5)))))</f>
        <v>5915</v>
      </c>
      <c r="D35" s="106">
        <f>IF(AND('条件'!$J43=0,'条件'!$D43=0),"Turn over",IF(AND('条件'!$J43=0,'条件'!$P43=0),"Turn over",IF(AND('条件'!$D43=0,'条件'!$V43=0),"Turn over",IF(AND('条件'!$V43=0,'条件'!$P43=0),"Turn over",IF(AND('条件'!$J43=0,'条件'!$D43&gt;0,'条件'!$V43&gt;0,'条件'!$P43&gt;0),"0 kgf",ROUNDUP('条件'!J43*0.2,0)*5)))))</f>
        <v>5820</v>
      </c>
      <c r="E35" s="106">
        <f>IF(AND('条件'!$J43=0,'条件'!$D43=0),"Turn over",IF(AND('条件'!$J43=0,'条件'!$P43=0),"Turn over",IF(AND('条件'!$D43=0,'条件'!$V43=0),"Turn over",IF(AND('条件'!$V43=0,'条件'!$P43=0),"Turn over",IF(AND('条件'!$J43&gt;0,'条件'!$D43&gt;0,'条件'!$V43&gt;0,'条件'!$P43=0),"0 kgf",ROUNDUP('条件'!P43*0.2,0)*5)))))</f>
        <v>3380</v>
      </c>
      <c r="F35" s="107">
        <f>IF(AND('条件'!$J43=0,'条件'!$D43=0),"Turn over",IF(AND('条件'!$J43=0,'条件'!$P43=0),"Turn over",IF(AND('条件'!$D43=0,'条件'!$V43=0),"Turn over",IF(AND('条件'!$V43=0,'条件'!$P43=0),"Turn over",IF(AND('条件'!$J43&gt;0,'条件'!$D43&gt;0,'条件'!$V43=0,'条件'!$P43&gt;0),"0 kgf",ROUNDUP('条件'!V43*0.2,0)*5)))))</f>
        <v>3430</v>
      </c>
      <c r="G35" s="103">
        <f t="shared" si="0"/>
        <v>18545</v>
      </c>
    </row>
    <row r="36" spans="2:7" ht="15.75" customHeight="1">
      <c r="B36" s="104" t="str">
        <f>'条件'!A44</f>
        <v>85°　　</v>
      </c>
      <c r="C36" s="105">
        <f>IF(AND('条件'!$J44=0,'条件'!$D44=0),"Turn over",IF(AND('条件'!$J44=0,'条件'!$P44=0),"Turn over",IF(AND('条件'!$D44=0,'条件'!$V44=0),"Turn over",IF(AND('条件'!$V44=0,'条件'!$P44=0),"Turn over",IF(AND('条件'!$J44&gt;0,'条件'!$D44=0,'条件'!$V44&gt;0,'条件'!$P44&gt;0),"0 kgf",ROUNDUP('条件'!D44*0.2,0)*5)))))</f>
        <v>6040</v>
      </c>
      <c r="D36" s="106">
        <f>IF(AND('条件'!$J44=0,'条件'!$D44=0),"Turn over",IF(AND('条件'!$J44=0,'条件'!$P44=0),"Turn over",IF(AND('条件'!$D44=0,'条件'!$V44=0),"Turn over",IF(AND('条件'!$V44=0,'条件'!$P44=0),"Turn over",IF(AND('条件'!$J44=0,'条件'!$D44&gt;0,'条件'!$V44&gt;0,'条件'!$P44&gt;0),"0 kgf",ROUNDUP('条件'!J44*0.2,0)*5)))))</f>
        <v>5725</v>
      </c>
      <c r="E36" s="106">
        <f>IF(AND('条件'!$J44=0,'条件'!$D44=0),"Turn over",IF(AND('条件'!$J44=0,'条件'!$P44=0),"Turn over",IF(AND('条件'!$D44=0,'条件'!$V44=0),"Turn over",IF(AND('条件'!$V44=0,'条件'!$P44=0),"Turn over",IF(AND('条件'!$J44&gt;0,'条件'!$D44&gt;0,'条件'!$V44&gt;0,'条件'!$P44=0),"0 kgf",ROUNDUP('条件'!P44*0.2,0)*5)))))</f>
        <v>3255</v>
      </c>
      <c r="F36" s="107">
        <f>IF(AND('条件'!$J44=0,'条件'!$D44=0),"Turn over",IF(AND('条件'!$J44=0,'条件'!$P44=0),"Turn over",IF(AND('条件'!$D44=0,'条件'!$V44=0),"Turn over",IF(AND('条件'!$V44=0,'条件'!$P44=0),"Turn over",IF(AND('条件'!$J44&gt;0,'条件'!$D44&gt;0,'条件'!$V44=0,'条件'!$P44&gt;0),"0 kgf",ROUNDUP('条件'!V44*0.2,0)*5)))))</f>
        <v>3525</v>
      </c>
      <c r="G36" s="103">
        <f t="shared" si="0"/>
        <v>18545</v>
      </c>
    </row>
    <row r="37" spans="2:7" ht="15.75" customHeight="1">
      <c r="B37" s="117" t="str">
        <f>'条件'!A45</f>
        <v>90°　　</v>
      </c>
      <c r="C37" s="118">
        <f>IF(AND('条件'!$J45=0,'条件'!$D45=0),"Turn over",IF(AND('条件'!$J45=0,'条件'!$P45=0),"Turn over",IF(AND('条件'!$D45=0,'条件'!$V45=0),"Turn over",IF(AND('条件'!$V45=0,'条件'!$P45=0),"Turn over",IF(AND('条件'!$J45&gt;0,'条件'!$D45=0,'条件'!$V45&gt;0,'条件'!$P45&gt;0),"0 kgf",ROUNDUP('条件'!D45*0.2,0)*5)))))</f>
        <v>6155</v>
      </c>
      <c r="D37" s="119">
        <f>IF(AND('条件'!$J45=0,'条件'!$D45=0),"Turn over",IF(AND('条件'!$J45=0,'条件'!$P45=0),"Turn over",IF(AND('条件'!$D45=0,'条件'!$V45=0),"Turn over",IF(AND('条件'!$V45=0,'条件'!$P45=0),"Turn over",IF(AND('条件'!$J45=0,'条件'!$D45&gt;0,'条件'!$V45&gt;0,'条件'!$P45&gt;0),"0 kgf",ROUNDUP('条件'!J45*0.2,0)*5)))))</f>
        <v>5620</v>
      </c>
      <c r="E37" s="119">
        <f>IF(AND('条件'!$J45=0,'条件'!$D45=0),"Turn over",IF(AND('条件'!$J45=0,'条件'!$P45=0),"Turn over",IF(AND('条件'!$D45=0,'条件'!$V45=0),"Turn over",IF(AND('条件'!$V45=0,'条件'!$P45=0),"Turn over",IF(AND('条件'!$J45&gt;0,'条件'!$D45&gt;0,'条件'!$V45&gt;0,'条件'!$P45=0),"0 kgf",ROUNDUP('条件'!P45*0.2,0)*5)))))</f>
        <v>3140</v>
      </c>
      <c r="F37" s="120">
        <f>IF(AND('条件'!$J45=0,'条件'!$D45=0),"Turn over",IF(AND('条件'!$J45=0,'条件'!$P45=0),"Turn over",IF(AND('条件'!$D45=0,'条件'!$V45=0),"Turn over",IF(AND('条件'!$V45=0,'条件'!$P45=0),"Turn over",IF(AND('条件'!$J45&gt;0,'条件'!$D45&gt;0,'条件'!$V45=0,'条件'!$P45&gt;0),"0 kgf",ROUNDUP('条件'!V45*0.2,0)*5)))))</f>
        <v>3635</v>
      </c>
      <c r="G37" s="103">
        <f t="shared" si="0"/>
        <v>18550</v>
      </c>
    </row>
    <row r="38" spans="2:7" ht="15.75" customHeight="1">
      <c r="B38" s="121" t="str">
        <f>'条件'!A46</f>
        <v>95°　　</v>
      </c>
      <c r="C38" s="114">
        <f>IF(AND('条件'!$J46=0,'条件'!$D46=0),"Turn over",IF(AND('条件'!$J46=0,'条件'!$P46=0),"Turn over",IF(AND('条件'!$D46=0,'条件'!$V46=0),"Turn over",IF(AND('条件'!$V46=0,'条件'!$P46=0),"Turn over",IF(AND('条件'!$J46&gt;0,'条件'!$D46=0,'条件'!$V46&gt;0,'条件'!$P46&gt;0),"0 kgf",ROUNDUP('条件'!D46*0.2,0)*5)))))</f>
        <v>6265</v>
      </c>
      <c r="D38" s="115">
        <f>IF(AND('条件'!$J46=0,'条件'!$D46=0),"Turn over",IF(AND('条件'!$J46=0,'条件'!$P46=0),"Turn over",IF(AND('条件'!$D46=0,'条件'!$V46=0),"Turn over",IF(AND('条件'!$V46=0,'条件'!$P46=0),"Turn over",IF(AND('条件'!$J46=0,'条件'!$D46&gt;0,'条件'!$V46&gt;0,'条件'!$P46&gt;0),"0 kgf",ROUNDUP('条件'!J46*0.2,0)*5)))))</f>
        <v>5500</v>
      </c>
      <c r="E38" s="115">
        <f>IF(AND('条件'!$J46=0,'条件'!$D46=0),"Turn over",IF(AND('条件'!$J46=0,'条件'!$P46=0),"Turn over",IF(AND('条件'!$D46=0,'条件'!$V46=0),"Turn over",IF(AND('条件'!$V46=0,'条件'!$P46=0),"Turn over",IF(AND('条件'!$J46&gt;0,'条件'!$D46&gt;0,'条件'!$V46&gt;0,'条件'!$P46=0),"0 kgf",ROUNDUP('条件'!P46*0.2,0)*5)))))</f>
        <v>3035</v>
      </c>
      <c r="F38" s="116">
        <f>IF(AND('条件'!$J46=0,'条件'!$D46=0),"Turn over",IF(AND('条件'!$J46=0,'条件'!$P46=0),"Turn over",IF(AND('条件'!$D46=0,'条件'!$V46=0),"Turn over",IF(AND('条件'!$V46=0,'条件'!$P46=0),"Turn over",IF(AND('条件'!$J46&gt;0,'条件'!$D46&gt;0,'条件'!$V46=0,'条件'!$P46&gt;0),"0 kgf",ROUNDUP('条件'!V46*0.2,0)*5)))))</f>
        <v>3750</v>
      </c>
      <c r="G38" s="103">
        <f t="shared" si="0"/>
        <v>18550</v>
      </c>
    </row>
    <row r="39" spans="2:7" ht="15.75" customHeight="1">
      <c r="B39" s="104" t="str">
        <f>'条件'!A47</f>
        <v>100°　　</v>
      </c>
      <c r="C39" s="105">
        <f>IF(AND('条件'!$J47=0,'条件'!$D47=0),"Turn over",IF(AND('条件'!$J47=0,'条件'!$P47=0),"Turn over",IF(AND('条件'!$D47=0,'条件'!$V47=0),"Turn over",IF(AND('条件'!$V47=0,'条件'!$P47=0),"Turn over",IF(AND('条件'!$J47&gt;0,'条件'!$D47=0,'条件'!$V47&gt;0,'条件'!$P47&gt;0),"0 kgf",ROUNDUP('条件'!D47*0.2,0)*5)))))</f>
        <v>6360</v>
      </c>
      <c r="D39" s="106">
        <f>IF(AND('条件'!$J47=0,'条件'!$D47=0),"Turn over",IF(AND('条件'!$J47=0,'条件'!$P47=0),"Turn over",IF(AND('条件'!$D47=0,'条件'!$V47=0),"Turn over",IF(AND('条件'!$V47=0,'条件'!$P47=0),"Turn over",IF(AND('条件'!$J47=0,'条件'!$D47&gt;0,'条件'!$V47&gt;0,'条件'!$P47&gt;0),"0 kgf",ROUNDUP('条件'!J47*0.2,0)*5)))))</f>
        <v>5375</v>
      </c>
      <c r="E39" s="106">
        <f>IF(AND('条件'!$J47=0,'条件'!$D47=0),"Turn over",IF(AND('条件'!$J47=0,'条件'!$P47=0),"Turn over",IF(AND('条件'!$D47=0,'条件'!$V47=0),"Turn over",IF(AND('条件'!$V47=0,'条件'!$P47=0),"Turn over",IF(AND('条件'!$J47&gt;0,'条件'!$D47&gt;0,'条件'!$V47&gt;0,'条件'!$P47=0),"0 kgf",ROUNDUP('条件'!P47*0.2,0)*5)))))</f>
        <v>2935</v>
      </c>
      <c r="F39" s="107">
        <f>IF(AND('条件'!$J47=0,'条件'!$D47=0),"Turn over",IF(AND('条件'!$J47=0,'条件'!$P47=0),"Turn over",IF(AND('条件'!$D47=0,'条件'!$V47=0),"Turn over",IF(AND('条件'!$V47=0,'条件'!$P47=0),"Turn over",IF(AND('条件'!$J47&gt;0,'条件'!$D47&gt;0,'条件'!$V47=0,'条件'!$P47&gt;0),"0 kgf",ROUNDUP('条件'!V47*0.2,0)*5)))))</f>
        <v>3875</v>
      </c>
      <c r="G39" s="103">
        <f t="shared" si="0"/>
        <v>18545</v>
      </c>
    </row>
    <row r="40" spans="2:7" ht="15.75" customHeight="1">
      <c r="B40" s="104" t="str">
        <f>'条件'!A48</f>
        <v>105°　　</v>
      </c>
      <c r="C40" s="105">
        <f>IF(AND('条件'!$J48=0,'条件'!$D48=0),"Turn over",IF(AND('条件'!$J48=0,'条件'!$P48=0),"Turn over",IF(AND('条件'!$D48=0,'条件'!$V48=0),"Turn over",IF(AND('条件'!$V48=0,'条件'!$P48=0),"Turn over",IF(AND('条件'!$J48&gt;0,'条件'!$D48=0,'条件'!$V48&gt;0,'条件'!$P48&gt;0),"0 kgf",ROUNDUP('条件'!D48*0.2,0)*5)))))</f>
        <v>6445</v>
      </c>
      <c r="D40" s="106">
        <f>IF(AND('条件'!$J48=0,'条件'!$D48=0),"Turn over",IF(AND('条件'!$J48=0,'条件'!$P48=0),"Turn over",IF(AND('条件'!$D48=0,'条件'!$V48=0),"Turn over",IF(AND('条件'!$V48=0,'条件'!$P48=0),"Turn over",IF(AND('条件'!$J48=0,'条件'!$D48&gt;0,'条件'!$V48&gt;0,'条件'!$P48&gt;0),"0 kgf",ROUNDUP('条件'!J48*0.2,0)*5)))))</f>
        <v>5245</v>
      </c>
      <c r="E40" s="106">
        <f>IF(AND('条件'!$J48=0,'条件'!$D48=0),"Turn over",IF(AND('条件'!$J48=0,'条件'!$P48=0),"Turn over",IF(AND('条件'!$D48=0,'条件'!$V48=0),"Turn over",IF(AND('条件'!$V48=0,'条件'!$P48=0),"Turn over",IF(AND('条件'!$J48&gt;0,'条件'!$D48&gt;0,'条件'!$V48&gt;0,'条件'!$P48=0),"0 kgf",ROUNDUP('条件'!P48*0.2,0)*5)))))</f>
        <v>2850</v>
      </c>
      <c r="F40" s="107">
        <f>IF(AND('条件'!$J48=0,'条件'!$D48=0),"Turn over",IF(AND('条件'!$J48=0,'条件'!$P48=0),"Turn over",IF(AND('条件'!$D48=0,'条件'!$V48=0),"Turn over",IF(AND('条件'!$V48=0,'条件'!$P48=0),"Turn over",IF(AND('条件'!$J48&gt;0,'条件'!$D48&gt;0,'条件'!$V48=0,'条件'!$P48&gt;0),"0 kgf",ROUNDUP('条件'!V48*0.2,0)*5)))))</f>
        <v>4010</v>
      </c>
      <c r="G40" s="103">
        <f t="shared" si="0"/>
        <v>18550</v>
      </c>
    </row>
    <row r="41" spans="2:7" ht="15.75" customHeight="1">
      <c r="B41" s="104" t="str">
        <f>'条件'!A49</f>
        <v>110°　　</v>
      </c>
      <c r="C41" s="105">
        <f>IF(AND('条件'!$J49=0,'条件'!$D49=0),"Turn over",IF(AND('条件'!$J49=0,'条件'!$P49=0),"Turn over",IF(AND('条件'!$D49=0,'条件'!$V49=0),"Turn over",IF(AND('条件'!$V49=0,'条件'!$P49=0),"Turn over",IF(AND('条件'!$J49&gt;0,'条件'!$D49=0,'条件'!$V49&gt;0,'条件'!$P49&gt;0),"0 kgf",ROUNDUP('条件'!D49*0.2,0)*5)))))</f>
        <v>6520</v>
      </c>
      <c r="D41" s="106">
        <f>IF(AND('条件'!$J49=0,'条件'!$D49=0),"Turn over",IF(AND('条件'!$J49=0,'条件'!$P49=0),"Turn over",IF(AND('条件'!$D49=0,'条件'!$V49=0),"Turn over",IF(AND('条件'!$V49=0,'条件'!$P49=0),"Turn over",IF(AND('条件'!$J49=0,'条件'!$D49&gt;0,'条件'!$V49&gt;0,'条件'!$P49&gt;0),"0 kgf",ROUNDUP('条件'!J49*0.2,0)*5)))))</f>
        <v>5105</v>
      </c>
      <c r="E41" s="106">
        <f>IF(AND('条件'!$J49=0,'条件'!$D49=0),"Turn over",IF(AND('条件'!$J49=0,'条件'!$P49=0),"Turn over",IF(AND('条件'!$D49=0,'条件'!$V49=0),"Turn over",IF(AND('条件'!$V49=0,'条件'!$P49=0),"Turn over",IF(AND('条件'!$J49&gt;0,'条件'!$D49&gt;0,'条件'!$V49&gt;0,'条件'!$P49=0),"0 kgf",ROUNDUP('条件'!P49*0.2,0)*5)))))</f>
        <v>2775</v>
      </c>
      <c r="F41" s="107">
        <f>IF(AND('条件'!$J49=0,'条件'!$D49=0),"Turn over",IF(AND('条件'!$J49=0,'条件'!$P49=0),"Turn over",IF(AND('条件'!$D49=0,'条件'!$V49=0),"Turn over",IF(AND('条件'!$V49=0,'条件'!$P49=0),"Turn over",IF(AND('条件'!$J49&gt;0,'条件'!$D49&gt;0,'条件'!$V49=0,'条件'!$P49&gt;0),"0 kgf",ROUNDUP('条件'!V49*0.2,0)*5)))))</f>
        <v>4150</v>
      </c>
      <c r="G41" s="103">
        <f t="shared" si="0"/>
        <v>18550</v>
      </c>
    </row>
    <row r="42" spans="2:7" ht="15.75" customHeight="1">
      <c r="B42" s="104" t="str">
        <f>'条件'!A50</f>
        <v>115°　　</v>
      </c>
      <c r="C42" s="105">
        <f>IF(AND('条件'!$J50=0,'条件'!$D50=0),"Turn over",IF(AND('条件'!$J50=0,'条件'!$P50=0),"Turn over",IF(AND('条件'!$D50=0,'条件'!$V50=0),"Turn over",IF(AND('条件'!$V50=0,'条件'!$P50=0),"Turn over",IF(AND('条件'!$J50&gt;0,'条件'!$D50=0,'条件'!$V50&gt;0,'条件'!$P50&gt;0),"0 kgf",ROUNDUP('条件'!D50*0.2,0)*5)))))</f>
        <v>6580</v>
      </c>
      <c r="D42" s="106">
        <f>IF(AND('条件'!$J50=0,'条件'!$D50=0),"Turn over",IF(AND('条件'!$J50=0,'条件'!$P50=0),"Turn over",IF(AND('条件'!$D50=0,'条件'!$V50=0),"Turn over",IF(AND('条件'!$V50=0,'条件'!$P50=0),"Turn over",IF(AND('条件'!$J50=0,'条件'!$D50&gt;0,'条件'!$V50&gt;0,'条件'!$P50&gt;0),"0 kgf",ROUNDUP('条件'!J50*0.2,0)*5)))))</f>
        <v>4960</v>
      </c>
      <c r="E42" s="106">
        <f>IF(AND('条件'!$J50=0,'条件'!$D50=0),"Turn over",IF(AND('条件'!$J50=0,'条件'!$P50=0),"Turn over",IF(AND('条件'!$D50=0,'条件'!$V50=0),"Turn over",IF(AND('条件'!$V50=0,'条件'!$P50=0),"Turn over",IF(AND('条件'!$J50&gt;0,'条件'!$D50&gt;0,'条件'!$V50&gt;0,'条件'!$P50=0),"0 kgf",ROUNDUP('条件'!P50*0.2,0)*5)))))</f>
        <v>2715</v>
      </c>
      <c r="F42" s="107">
        <f>IF(AND('条件'!$J50=0,'条件'!$D50=0),"Turn over",IF(AND('条件'!$J50=0,'条件'!$P50=0),"Turn over",IF(AND('条件'!$D50=0,'条件'!$V50=0),"Turn over",IF(AND('条件'!$V50=0,'条件'!$P50=0),"Turn over",IF(AND('条件'!$J50&gt;0,'条件'!$D50&gt;0,'条件'!$V50=0,'条件'!$P50&gt;0),"0 kgf",ROUNDUP('条件'!V50*0.2,0)*5)))))</f>
        <v>4295</v>
      </c>
      <c r="G42" s="103">
        <f t="shared" si="0"/>
        <v>18550</v>
      </c>
    </row>
    <row r="43" spans="2:7" ht="15.75" customHeight="1">
      <c r="B43" s="104" t="str">
        <f>'条件'!A51</f>
        <v>120°　　</v>
      </c>
      <c r="C43" s="105">
        <f>IF(AND('条件'!$J51=0,'条件'!$D51=0),"Turn over",IF(AND('条件'!$J51=0,'条件'!$P51=0),"Turn over",IF(AND('条件'!$D51=0,'条件'!$V51=0),"Turn over",IF(AND('条件'!$V51=0,'条件'!$P51=0),"Turn over",IF(AND('条件'!$J51&gt;0,'条件'!$D51=0,'条件'!$V51&gt;0,'条件'!$P51&gt;0),"0 kgf",ROUNDUP('条件'!D51*0.2,0)*5)))))</f>
        <v>6630</v>
      </c>
      <c r="D43" s="106">
        <f>IF(AND('条件'!$J51=0,'条件'!$D51=0),"Turn over",IF(AND('条件'!$J51=0,'条件'!$P51=0),"Turn over",IF(AND('条件'!$D51=0,'条件'!$V51=0),"Turn over",IF(AND('条件'!$V51=0,'条件'!$P51=0),"Turn over",IF(AND('条件'!$J51=0,'条件'!$D51&gt;0,'条件'!$V51&gt;0,'条件'!$P51&gt;0),"0 kgf",ROUNDUP('条件'!J51*0.2,0)*5)))))</f>
        <v>4810</v>
      </c>
      <c r="E43" s="106">
        <f>IF(AND('条件'!$J51=0,'条件'!$D51=0),"Turn over",IF(AND('条件'!$J51=0,'条件'!$P51=0),"Turn over",IF(AND('条件'!$D51=0,'条件'!$V51=0),"Turn over",IF(AND('条件'!$V51=0,'条件'!$P51=0),"Turn over",IF(AND('条件'!$J51&gt;0,'条件'!$D51&gt;0,'条件'!$V51&gt;0,'条件'!$P51=0),"0 kgf",ROUNDUP('条件'!P51*0.2,0)*5)))))</f>
        <v>2665</v>
      </c>
      <c r="F43" s="107">
        <f>IF(AND('条件'!$J51=0,'条件'!$D51=0),"Turn over",IF(AND('条件'!$J51=0,'条件'!$P51=0),"Turn over",IF(AND('条件'!$D51=0,'条件'!$V51=0),"Turn over",IF(AND('条件'!$V51=0,'条件'!$P51=0),"Turn over",IF(AND('条件'!$J51&gt;0,'条件'!$D51&gt;0,'条件'!$V51=0,'条件'!$P51&gt;0),"0 kgf",ROUNDUP('条件'!V51*0.2,0)*5)))))</f>
        <v>4445</v>
      </c>
      <c r="G43" s="103">
        <f t="shared" si="0"/>
        <v>18550</v>
      </c>
    </row>
    <row r="44" spans="2:7" ht="15.75" customHeight="1">
      <c r="B44" s="104" t="str">
        <f>'条件'!A52</f>
        <v>125°　　</v>
      </c>
      <c r="C44" s="105">
        <f>IF(AND('条件'!$J52=0,'条件'!$D52=0),"Turn over",IF(AND('条件'!$J52=0,'条件'!$P52=0),"Turn over",IF(AND('条件'!$D52=0,'条件'!$V52=0),"Turn over",IF(AND('条件'!$V52=0,'条件'!$P52=0),"Turn over",IF(AND('条件'!$J52&gt;0,'条件'!$D52=0,'条件'!$V52&gt;0,'条件'!$P52&gt;0),"0 kgf",ROUNDUP('条件'!D52*0.2,0)*5)))))</f>
        <v>6665</v>
      </c>
      <c r="D44" s="106">
        <f>IF(AND('条件'!$J52=0,'条件'!$D52=0),"Turn over",IF(AND('条件'!$J52=0,'条件'!$P52=0),"Turn over",IF(AND('条件'!$D52=0,'条件'!$V52=0),"Turn over",IF(AND('条件'!$V52=0,'条件'!$P52=0),"Turn over",IF(AND('条件'!$J52=0,'条件'!$D52&gt;0,'条件'!$V52&gt;0,'条件'!$P52&gt;0),"0 kgf",ROUNDUP('条件'!J52*0.2,0)*5)))))</f>
        <v>4660</v>
      </c>
      <c r="E44" s="106">
        <f>IF(AND('条件'!$J52=0,'条件'!$D52=0),"Turn over",IF(AND('条件'!$J52=0,'条件'!$P52=0),"Turn over",IF(AND('条件'!$D52=0,'条件'!$V52=0),"Turn over",IF(AND('条件'!$V52=0,'条件'!$P52=0),"Turn over",IF(AND('条件'!$J52&gt;0,'条件'!$D52&gt;0,'条件'!$V52&gt;0,'条件'!$P52=0),"0 kgf",ROUNDUP('条件'!P52*0.2,0)*5)))))</f>
        <v>2630</v>
      </c>
      <c r="F44" s="107">
        <f>IF(AND('条件'!$J52=0,'条件'!$D52=0),"Turn over",IF(AND('条件'!$J52=0,'条件'!$P52=0),"Turn over",IF(AND('条件'!$D52=0,'条件'!$V52=0),"Turn over",IF(AND('条件'!$V52=0,'条件'!$P52=0),"Turn over",IF(AND('条件'!$J52&gt;0,'条件'!$D52&gt;0,'条件'!$V52=0,'条件'!$P52&gt;0),"0 kgf",ROUNDUP('条件'!V52*0.2,0)*5)))))</f>
        <v>4595</v>
      </c>
      <c r="G44" s="103">
        <f t="shared" si="0"/>
        <v>18550</v>
      </c>
    </row>
    <row r="45" spans="2:7" ht="15.75" customHeight="1">
      <c r="B45" s="104" t="str">
        <f>'条件'!A53</f>
        <v>130°　　</v>
      </c>
      <c r="C45" s="105">
        <f>IF(AND('条件'!$J53=0,'条件'!$D53=0),"Turn over",IF(AND('条件'!$J53=0,'条件'!$P53=0),"Turn over",IF(AND('条件'!$D53=0,'条件'!$V53=0),"Turn over",IF(AND('条件'!$V53=0,'条件'!$P53=0),"Turn over",IF(AND('条件'!$J53&gt;0,'条件'!$D53=0,'条件'!$V53&gt;0,'条件'!$P53&gt;0),"0 kgf",ROUNDUP('条件'!D53*0.2,0)*5)))))</f>
        <v>6685</v>
      </c>
      <c r="D45" s="106">
        <f>IF(AND('条件'!$J53=0,'条件'!$D53=0),"Turn over",IF(AND('条件'!$J53=0,'条件'!$P53=0),"Turn over",IF(AND('条件'!$D53=0,'条件'!$V53=0),"Turn over",IF(AND('条件'!$V53=0,'条件'!$P53=0),"Turn over",IF(AND('条件'!$J53=0,'条件'!$D53&gt;0,'条件'!$V53&gt;0,'条件'!$P53&gt;0),"0 kgf",ROUNDUP('条件'!J53*0.2,0)*5)))))</f>
        <v>4505</v>
      </c>
      <c r="E45" s="106">
        <f>IF(AND('条件'!$J53=0,'条件'!$D53=0),"Turn over",IF(AND('条件'!$J53=0,'条件'!$P53=0),"Turn over",IF(AND('条件'!$D53=0,'条件'!$V53=0),"Turn over",IF(AND('条件'!$V53=0,'条件'!$P53=0),"Turn over",IF(AND('条件'!$J53&gt;0,'条件'!$D53&gt;0,'条件'!$V53&gt;0,'条件'!$P53=0),"0 kgf",ROUNDUP('条件'!P53*0.2,0)*5)))))</f>
        <v>2605</v>
      </c>
      <c r="F45" s="107">
        <f>IF(AND('条件'!$J53=0,'条件'!$D53=0),"Turn over",IF(AND('条件'!$J53=0,'条件'!$P53=0),"Turn over",IF(AND('条件'!$D53=0,'条件'!$V53=0),"Turn over",IF(AND('条件'!$V53=0,'条件'!$P53=0),"Turn over",IF(AND('条件'!$J53&gt;0,'条件'!$D53&gt;0,'条件'!$V53=0,'条件'!$P53&gt;0),"0 kgf",ROUNDUP('条件'!V53*0.2,0)*5)))))</f>
        <v>4750</v>
      </c>
      <c r="G45" s="103">
        <f t="shared" si="0"/>
        <v>18545</v>
      </c>
    </row>
    <row r="46" spans="2:7" ht="15.75" customHeight="1">
      <c r="B46" s="109" t="str">
        <f>'条件'!A54</f>
        <v>135°　　</v>
      </c>
      <c r="C46" s="118">
        <f>IF(AND('条件'!$J54=0,'条件'!$D54=0),"Turn over",IF(AND('条件'!$J54=0,'条件'!$P54=0),"Turn over",IF(AND('条件'!$D54=0,'条件'!$V54=0),"Turn over",IF(AND('条件'!$V54=0,'条件'!$P54=0),"Turn over",IF(AND('条件'!$J54&gt;0,'条件'!$D54=0,'条件'!$V54&gt;0,'条件'!$P54&gt;0),"0 kgf",ROUNDUP('条件'!D54*0.2,0)*5)))))</f>
        <v>6695</v>
      </c>
      <c r="D46" s="119">
        <f>IF(AND('条件'!$J54=0,'条件'!$D54=0),"Turn over",IF(AND('条件'!$J54=0,'条件'!$P54=0),"Turn over",IF(AND('条件'!$D54=0,'条件'!$V54=0),"Turn over",IF(AND('条件'!$V54=0,'条件'!$P54=0),"Turn over",IF(AND('条件'!$J54=0,'条件'!$D54&gt;0,'条件'!$V54&gt;0,'条件'!$P54&gt;0),"0 kgf",ROUNDUP('条件'!J54*0.2,0)*5)))))</f>
        <v>4350</v>
      </c>
      <c r="E46" s="119">
        <f>IF(AND('条件'!$J54=0,'条件'!$D54=0),"Turn over",IF(AND('条件'!$J54=0,'条件'!$P54=0),"Turn over",IF(AND('条件'!$D54=0,'条件'!$V54=0),"Turn over",IF(AND('条件'!$V54=0,'条件'!$P54=0),"Turn over",IF(AND('条件'!$J54&gt;0,'条件'!$D54&gt;0,'条件'!$V54&gt;0,'条件'!$P54=0),"0 kgf",ROUNDUP('条件'!P54*0.2,0)*5)))))</f>
        <v>2595</v>
      </c>
      <c r="F46" s="120">
        <f>IF(AND('条件'!$J54=0,'条件'!$D54=0),"Turn over",IF(AND('条件'!$J54=0,'条件'!$P54=0),"Turn over",IF(AND('条件'!$D54=0,'条件'!$V54=0),"Turn over",IF(AND('条件'!$V54=0,'条件'!$P54=0),"Turn over",IF(AND('条件'!$J54&gt;0,'条件'!$D54&gt;0,'条件'!$V54=0,'条件'!$P54&gt;0),"0 kgf",ROUNDUP('条件'!V54*0.2,0)*5)))))</f>
        <v>4910</v>
      </c>
      <c r="G46" s="103">
        <f t="shared" si="0"/>
        <v>18550</v>
      </c>
    </row>
    <row r="47" spans="2:7" ht="15.75" customHeight="1">
      <c r="B47" s="113" t="str">
        <f>'条件'!A55</f>
        <v>140°　　</v>
      </c>
      <c r="C47" s="114">
        <f>IF(AND('条件'!$J55=0,'条件'!$D55=0),"Turn over",IF(AND('条件'!$J55=0,'条件'!$P55=0),"Turn over",IF(AND('条件'!$D55=0,'条件'!$V55=0),"Turn over",IF(AND('条件'!$V55=0,'条件'!$P55=0),"Turn over",IF(AND('条件'!$J55&gt;0,'条件'!$D55=0,'条件'!$V55&gt;0,'条件'!$P55&gt;0),"0 kgf",ROUNDUP('条件'!D55*0.2,0)*5)))))</f>
        <v>6685</v>
      </c>
      <c r="D47" s="115">
        <f>IF(AND('条件'!$J55=0,'条件'!$D55=0),"Turn over",IF(AND('条件'!$J55=0,'条件'!$P55=0),"Turn over",IF(AND('条件'!$D55=0,'条件'!$V55=0),"Turn over",IF(AND('条件'!$V55=0,'条件'!$P55=0),"Turn over",IF(AND('条件'!$J55=0,'条件'!$D55&gt;0,'条件'!$V55&gt;0,'条件'!$P55&gt;0),"0 kgf",ROUNDUP('条件'!J55*0.2,0)*5)))))</f>
        <v>4195</v>
      </c>
      <c r="E47" s="115">
        <f>IF(AND('条件'!$J55=0,'条件'!$D55=0),"Turn over",IF(AND('条件'!$J55=0,'条件'!$P55=0),"Turn over",IF(AND('条件'!$D55=0,'条件'!$V55=0),"Turn over",IF(AND('条件'!$V55=0,'条件'!$P55=0),"Turn over",IF(AND('条件'!$J55&gt;0,'条件'!$D55&gt;0,'条件'!$V55&gt;0,'条件'!$P55=0),"0 kgf",ROUNDUP('条件'!P55*0.2,0)*5)))))</f>
        <v>2600</v>
      </c>
      <c r="F47" s="116">
        <f>IF(AND('条件'!$J55=0,'条件'!$D55=0),"Turn over",IF(AND('条件'!$J55=0,'条件'!$P55=0),"Turn over",IF(AND('条件'!$D55=0,'条件'!$V55=0),"Turn over",IF(AND('条件'!$V55=0,'条件'!$P55=0),"Turn over",IF(AND('条件'!$J55&gt;0,'条件'!$D55&gt;0,'条件'!$V55=0,'条件'!$P55&gt;0),"0 kgf",ROUNDUP('条件'!V55*0.2,0)*5)))))</f>
        <v>5065</v>
      </c>
      <c r="G47" s="103">
        <f t="shared" si="0"/>
        <v>18545</v>
      </c>
    </row>
    <row r="48" spans="2:7" ht="15.75" customHeight="1">
      <c r="B48" s="104" t="str">
        <f>'条件'!A56</f>
        <v>145°　　</v>
      </c>
      <c r="C48" s="105">
        <f>IF(AND('条件'!$J56=0,'条件'!$D56=0),"Turn over",IF(AND('条件'!$J56=0,'条件'!$P56=0),"Turn over",IF(AND('条件'!$D56=0,'条件'!$V56=0),"Turn over",IF(AND('条件'!$V56=0,'条件'!$P56=0),"Turn over",IF(AND('条件'!$J56&gt;0,'条件'!$D56=0,'条件'!$V56&gt;0,'条件'!$P56&gt;0),"0 kgf",ROUNDUP('条件'!D56*0.2,0)*5)))))</f>
        <v>6665</v>
      </c>
      <c r="D48" s="106">
        <f>IF(AND('条件'!$J56=0,'条件'!$D56=0),"Turn over",IF(AND('条件'!$J56=0,'条件'!$P56=0),"Turn over",IF(AND('条件'!$D56=0,'条件'!$V56=0),"Turn over",IF(AND('条件'!$V56=0,'条件'!$P56=0),"Turn over",IF(AND('条件'!$J56=0,'条件'!$D56&gt;0,'条件'!$V56&gt;0,'条件'!$P56&gt;0),"0 kgf",ROUNDUP('条件'!J56*0.2,0)*5)))))</f>
        <v>4040</v>
      </c>
      <c r="E48" s="106">
        <f>IF(AND('条件'!$J56=0,'条件'!$D56=0),"Turn over",IF(AND('条件'!$J56=0,'条件'!$P56=0),"Turn over",IF(AND('条件'!$D56=0,'条件'!$V56=0),"Turn over",IF(AND('条件'!$V56=0,'条件'!$P56=0),"Turn over",IF(AND('条件'!$J56&gt;0,'条件'!$D56&gt;0,'条件'!$V56&gt;0,'条件'!$P56=0),"0 kgf",ROUNDUP('条件'!P56*0.2,0)*5)))))</f>
        <v>2620</v>
      </c>
      <c r="F48" s="107">
        <f>IF(AND('条件'!$J56=0,'条件'!$D56=0),"Turn over",IF(AND('条件'!$J56=0,'条件'!$P56=0),"Turn over",IF(AND('条件'!$D56=0,'条件'!$V56=0),"Turn over",IF(AND('条件'!$V56=0,'条件'!$P56=0),"Turn over",IF(AND('条件'!$J56&gt;0,'条件'!$D56&gt;0,'条件'!$V56=0,'条件'!$P56&gt;0),"0 kgf",ROUNDUP('条件'!V56*0.2,0)*5)))))</f>
        <v>5220</v>
      </c>
      <c r="G48" s="103">
        <f t="shared" si="0"/>
        <v>18545</v>
      </c>
    </row>
    <row r="49" spans="2:7" ht="15.75" customHeight="1">
      <c r="B49" s="104" t="str">
        <f>'条件'!A57</f>
        <v>150°　　</v>
      </c>
      <c r="C49" s="105">
        <f>IF(AND('条件'!$J57=0,'条件'!$D57=0),"Turn over",IF(AND('条件'!$J57=0,'条件'!$P57=0),"Turn over",IF(AND('条件'!$D57=0,'条件'!$V57=0),"Turn over",IF(AND('条件'!$V57=0,'条件'!$P57=0),"Turn over",IF(AND('条件'!$J57&gt;0,'条件'!$D57=0,'条件'!$V57&gt;0,'条件'!$P57&gt;0),"0 kgf",ROUNDUP('条件'!D57*0.2,0)*5)))))</f>
        <v>6635</v>
      </c>
      <c r="D49" s="106">
        <f>IF(AND('条件'!$J57=0,'条件'!$D57=0),"Turn over",IF(AND('条件'!$J57=0,'条件'!$P57=0),"Turn over",IF(AND('条件'!$D57=0,'条件'!$V57=0),"Turn over",IF(AND('条件'!$V57=0,'条件'!$P57=0),"Turn over",IF(AND('条件'!$J57=0,'条件'!$D57&gt;0,'条件'!$V57&gt;0,'条件'!$P57&gt;0),"0 kgf",ROUNDUP('条件'!J57*0.2,0)*5)))))</f>
        <v>3890</v>
      </c>
      <c r="E49" s="106">
        <f>IF(AND('条件'!$J57=0,'条件'!$D57=0),"Turn over",IF(AND('条件'!$J57=0,'条件'!$P57=0),"Turn over",IF(AND('条件'!$D57=0,'条件'!$V57=0),"Turn over",IF(AND('条件'!$V57=0,'条件'!$P57=0),"Turn over",IF(AND('条件'!$J57&gt;0,'条件'!$D57&gt;0,'条件'!$V57&gt;0,'条件'!$P57=0),"0 kgf",ROUNDUP('条件'!P57*0.2,0)*5)))))</f>
        <v>2650</v>
      </c>
      <c r="F49" s="107">
        <f>IF(AND('条件'!$J57=0,'条件'!$D57=0),"Turn over",IF(AND('条件'!$J57=0,'条件'!$P57=0),"Turn over",IF(AND('条件'!$D57=0,'条件'!$V57=0),"Turn over",IF(AND('条件'!$V57=0,'条件'!$P57=0),"Turn over",IF(AND('条件'!$J57&gt;0,'条件'!$D57&gt;0,'条件'!$V57=0,'条件'!$P57&gt;0),"0 kgf",ROUNDUP('条件'!V57*0.2,0)*5)))))</f>
        <v>5375</v>
      </c>
      <c r="G49" s="103">
        <f t="shared" si="0"/>
        <v>18550</v>
      </c>
    </row>
    <row r="50" spans="2:7" ht="15.75" customHeight="1">
      <c r="B50" s="104" t="str">
        <f>'条件'!A58</f>
        <v>155°　　</v>
      </c>
      <c r="C50" s="105">
        <f>IF(AND('条件'!$J58=0,'条件'!$D58=0),"Turn over",IF(AND('条件'!$J58=0,'条件'!$P58=0),"Turn over",IF(AND('条件'!$D58=0,'条件'!$V58=0),"Turn over",IF(AND('条件'!$V58=0,'条件'!$P58=0),"Turn over",IF(AND('条件'!$J58&gt;0,'条件'!$D58=0,'条件'!$V58&gt;0,'条件'!$P58&gt;0),"0 kgf",ROUNDUP('条件'!D58*0.2,0)*5)))))</f>
        <v>6590</v>
      </c>
      <c r="D50" s="106">
        <f>IF(AND('条件'!$J58=0,'条件'!$D58=0),"Turn over",IF(AND('条件'!$J58=0,'条件'!$P58=0),"Turn over",IF(AND('条件'!$D58=0,'条件'!$V58=0),"Turn over",IF(AND('条件'!$V58=0,'条件'!$P58=0),"Turn over",IF(AND('条件'!$J58=0,'条件'!$D58&gt;0,'条件'!$V58&gt;0,'条件'!$P58&gt;0),"0 kgf",ROUNDUP('条件'!J58*0.2,0)*5)))))</f>
        <v>3740</v>
      </c>
      <c r="E50" s="106">
        <f>IF(AND('条件'!$J58=0,'条件'!$D58=0),"Turn over",IF(AND('条件'!$J58=0,'条件'!$P58=0),"Turn over",IF(AND('条件'!$D58=0,'条件'!$V58=0),"Turn over",IF(AND('条件'!$V58=0,'条件'!$P58=0),"Turn over",IF(AND('条件'!$J58&gt;0,'条件'!$D58&gt;0,'条件'!$V58&gt;0,'条件'!$P58=0),"0 kgf",ROUNDUP('条件'!P58*0.2,0)*5)))))</f>
        <v>2695</v>
      </c>
      <c r="F50" s="107">
        <f>IF(AND('条件'!$J58=0,'条件'!$D58=0),"Turn over",IF(AND('条件'!$J58=0,'条件'!$P58=0),"Turn over",IF(AND('条件'!$D58=0,'条件'!$V58=0),"Turn over",IF(AND('条件'!$V58=0,'条件'!$P58=0),"Turn over",IF(AND('条件'!$J58&gt;0,'条件'!$D58&gt;0,'条件'!$V58=0,'条件'!$P58&gt;0),"0 kgf",ROUNDUP('条件'!V58*0.2,0)*5)))))</f>
        <v>5520</v>
      </c>
      <c r="G50" s="103">
        <f t="shared" si="0"/>
        <v>18545</v>
      </c>
    </row>
    <row r="51" spans="2:7" ht="15.75" customHeight="1">
      <c r="B51" s="104" t="str">
        <f>'条件'!A59</f>
        <v>160°　　</v>
      </c>
      <c r="C51" s="105">
        <f>IF(AND('条件'!$J59=0,'条件'!$D59=0),"Turn over",IF(AND('条件'!$J59=0,'条件'!$P59=0),"Turn over",IF(AND('条件'!$D59=0,'条件'!$V59=0),"Turn over",IF(AND('条件'!$V59=0,'条件'!$P59=0),"Turn over",IF(AND('条件'!$J59&gt;0,'条件'!$D59=0,'条件'!$V59&gt;0,'条件'!$P59&gt;0),"0 kgf",ROUNDUP('条件'!D59*0.2,0)*5)))))</f>
        <v>6530</v>
      </c>
      <c r="D51" s="106">
        <f>IF(AND('条件'!$J59=0,'条件'!$D59=0),"Turn over",IF(AND('条件'!$J59=0,'条件'!$P59=0),"Turn over",IF(AND('条件'!$D59=0,'条件'!$V59=0),"Turn over",IF(AND('条件'!$V59=0,'条件'!$P59=0),"Turn over",IF(AND('条件'!$J59=0,'条件'!$D59&gt;0,'条件'!$V59&gt;0,'条件'!$P59&gt;0),"0 kgf",ROUNDUP('条件'!J59*0.2,0)*5)))))</f>
        <v>3600</v>
      </c>
      <c r="E51" s="106">
        <f>IF(AND('条件'!$J59=0,'条件'!$D59=0),"Turn over",IF(AND('条件'!$J59=0,'条件'!$P59=0),"Turn over",IF(AND('条件'!$D59=0,'条件'!$V59=0),"Turn over",IF(AND('条件'!$V59=0,'条件'!$P59=0),"Turn over",IF(AND('条件'!$J59&gt;0,'条件'!$D59&gt;0,'条件'!$V59&gt;0,'条件'!$P59=0),"0 kgf",ROUNDUP('条件'!P59*0.2,0)*5)))))</f>
        <v>2755</v>
      </c>
      <c r="F51" s="107">
        <f>IF(AND('条件'!$J59=0,'条件'!$D59=0),"Turn over",IF(AND('条件'!$J59=0,'条件'!$P59=0),"Turn over",IF(AND('条件'!$D59=0,'条件'!$V59=0),"Turn over",IF(AND('条件'!$V59=0,'条件'!$P59=0),"Turn over",IF(AND('条件'!$J59&gt;0,'条件'!$D59&gt;0,'条件'!$V59=0,'条件'!$P59&gt;0),"0 kgf",ROUNDUP('条件'!V59*0.2,0)*5)))))</f>
        <v>5665</v>
      </c>
      <c r="G51" s="103">
        <f t="shared" si="0"/>
        <v>18550</v>
      </c>
    </row>
    <row r="52" spans="2:7" ht="15.75" customHeight="1">
      <c r="B52" s="104" t="str">
        <f>'条件'!A60</f>
        <v>165°　　</v>
      </c>
      <c r="C52" s="105">
        <f>IF(AND('条件'!$J60=0,'条件'!$D60=0),"Turn over",IF(AND('条件'!$J60=0,'条件'!$P60=0),"Turn over",IF(AND('条件'!$D60=0,'条件'!$V60=0),"Turn over",IF(AND('条件'!$V60=0,'条件'!$P60=0),"Turn over",IF(AND('条件'!$J60&gt;0,'条件'!$D60=0,'条件'!$V60&gt;0,'条件'!$P60&gt;0),"0 kgf",ROUNDUP('条件'!D60*0.2,0)*5)))))</f>
        <v>6455</v>
      </c>
      <c r="D52" s="106">
        <f>IF(AND('条件'!$J60=0,'条件'!$D60=0),"Turn over",IF(AND('条件'!$J60=0,'条件'!$P60=0),"Turn over",IF(AND('条件'!$D60=0,'条件'!$V60=0),"Turn over",IF(AND('条件'!$V60=0,'条件'!$P60=0),"Turn over",IF(AND('条件'!$J60=0,'条件'!$D60&gt;0,'条件'!$V60&gt;0,'条件'!$P60&gt;0),"0 kgf",ROUNDUP('条件'!J60*0.2,0)*5)))))</f>
        <v>3465</v>
      </c>
      <c r="E52" s="106">
        <f>IF(AND('条件'!$J60=0,'条件'!$D60=0),"Turn over",IF(AND('条件'!$J60=0,'条件'!$P60=0),"Turn over",IF(AND('条件'!$D60=0,'条件'!$V60=0),"Turn over",IF(AND('条件'!$V60=0,'条件'!$P60=0),"Turn over",IF(AND('条件'!$J60&gt;0,'条件'!$D60&gt;0,'条件'!$V60&gt;0,'条件'!$P60=0),"0 kgf",ROUNDUP('条件'!P60*0.2,0)*5)))))</f>
        <v>2825</v>
      </c>
      <c r="F52" s="107">
        <f>IF(AND('条件'!$J60=0,'条件'!$D60=0),"Turn over",IF(AND('条件'!$J60=0,'条件'!$P60=0),"Turn over",IF(AND('条件'!$D60=0,'条件'!$V60=0),"Turn over",IF(AND('条件'!$V60=0,'条件'!$P60=0),"Turn over",IF(AND('条件'!$J60&gt;0,'条件'!$D60&gt;0,'条件'!$V60=0,'条件'!$P60&gt;0),"0 kgf",ROUNDUP('条件'!V60*0.2,0)*5)))))</f>
        <v>5805</v>
      </c>
      <c r="G52" s="103">
        <f t="shared" si="0"/>
        <v>18550</v>
      </c>
    </row>
    <row r="53" spans="2:7" ht="15.75" customHeight="1">
      <c r="B53" s="104" t="str">
        <f>'条件'!A61</f>
        <v>170°　　</v>
      </c>
      <c r="C53" s="105">
        <f>IF(AND('条件'!$J61=0,'条件'!$D61=0),"Turn over",IF(AND('条件'!$J61=0,'条件'!$P61=0),"Turn over",IF(AND('条件'!$D61=0,'条件'!$V61=0),"Turn over",IF(AND('条件'!$V61=0,'条件'!$P61=0),"Turn over",IF(AND('条件'!$J61&gt;0,'条件'!$D61=0,'条件'!$V61&gt;0,'条件'!$P61&gt;0),"0 kgf",ROUNDUP('条件'!D61*0.2,0)*5)))))</f>
        <v>6375</v>
      </c>
      <c r="D53" s="106">
        <f>IF(AND('条件'!$J61=0,'条件'!$D61=0),"Turn over",IF(AND('条件'!$J61=0,'条件'!$P61=0),"Turn over",IF(AND('条件'!$D61=0,'条件'!$V61=0),"Turn over",IF(AND('条件'!$V61=0,'条件'!$P61=0),"Turn over",IF(AND('条件'!$J61=0,'条件'!$D61&gt;0,'条件'!$V61&gt;0,'条件'!$P61&gt;0),"0 kgf",ROUNDUP('条件'!J61*0.2,0)*5)))))</f>
        <v>3335</v>
      </c>
      <c r="E53" s="106">
        <f>IF(AND('条件'!$J61=0,'条件'!$D61=0),"Turn over",IF(AND('条件'!$J61=0,'条件'!$P61=0),"Turn over",IF(AND('条件'!$D61=0,'条件'!$V61=0),"Turn over",IF(AND('条件'!$V61=0,'条件'!$P61=0),"Turn over",IF(AND('条件'!$J61&gt;0,'条件'!$D61&gt;0,'条件'!$V61&gt;0,'条件'!$P61=0),"0 kgf",ROUNDUP('条件'!P61*0.2,0)*5)))))</f>
        <v>2905</v>
      </c>
      <c r="F53" s="107">
        <f>IF(AND('条件'!$J61=0,'条件'!$D61=0),"Turn over",IF(AND('条件'!$J61=0,'条件'!$P61=0),"Turn over",IF(AND('条件'!$D61=0,'条件'!$V61=0),"Turn over",IF(AND('条件'!$V61=0,'条件'!$P61=0),"Turn over",IF(AND('条件'!$J61&gt;0,'条件'!$D61&gt;0,'条件'!$V61=0,'条件'!$P61&gt;0),"0 kgf",ROUNDUP('条件'!V61*0.2,0)*5)))))</f>
        <v>5935</v>
      </c>
      <c r="G53" s="103">
        <f t="shared" si="0"/>
        <v>18550</v>
      </c>
    </row>
    <row r="54" spans="2:7" ht="15.75" customHeight="1">
      <c r="B54" s="104" t="str">
        <f>'条件'!A62</f>
        <v>175°　　</v>
      </c>
      <c r="C54" s="105">
        <f>IF(AND('条件'!$J62=0,'条件'!$D62=0),"Turn over",IF(AND('条件'!$J62=0,'条件'!$P62=0),"Turn over",IF(AND('条件'!$D62=0,'条件'!$V62=0),"Turn over",IF(AND('条件'!$V62=0,'条件'!$P62=0),"Turn over",IF(AND('条件'!$J62&gt;0,'条件'!$D62=0,'条件'!$V62&gt;0,'条件'!$P62&gt;0),"0 kgf",ROUNDUP('条件'!D62*0.2,0)*5)))))</f>
        <v>6280</v>
      </c>
      <c r="D54" s="106">
        <f>IF(AND('条件'!$J62=0,'条件'!$D62=0),"Turn over",IF(AND('条件'!$J62=0,'条件'!$P62=0),"Turn over",IF(AND('条件'!$D62=0,'条件'!$V62=0),"Turn over",IF(AND('条件'!$V62=0,'条件'!$P62=0),"Turn over",IF(AND('条件'!$J62=0,'条件'!$D62&gt;0,'条件'!$V62&gt;0,'条件'!$P62&gt;0),"0 kgf",ROUNDUP('条件'!J62*0.2,0)*5)))))</f>
        <v>3215</v>
      </c>
      <c r="E54" s="106">
        <f>IF(AND('条件'!$J62=0,'条件'!$D62=0),"Turn over",IF(AND('条件'!$J62=0,'条件'!$P62=0),"Turn over",IF(AND('条件'!$D62=0,'条件'!$V62=0),"Turn over",IF(AND('条件'!$V62=0,'条件'!$P62=0),"Turn over",IF(AND('条件'!$J62&gt;0,'条件'!$D62&gt;0,'条件'!$V62&gt;0,'条件'!$P62=0),"0 kgf",ROUNDUP('条件'!P62*0.2,0)*5)))))</f>
        <v>2995</v>
      </c>
      <c r="F54" s="107">
        <f>IF(AND('条件'!$J62=0,'条件'!$D62=0),"Turn over",IF(AND('条件'!$J62=0,'条件'!$P62=0),"Turn over",IF(AND('条件'!$D62=0,'条件'!$V62=0),"Turn over",IF(AND('条件'!$V62=0,'条件'!$P62=0),"Turn over",IF(AND('条件'!$J62&gt;0,'条件'!$D62&gt;0,'条件'!$V62=0,'条件'!$P62&gt;0),"0 kgf",ROUNDUP('条件'!V62*0.2,0)*5)))))</f>
        <v>6060</v>
      </c>
      <c r="G54" s="103">
        <f t="shared" si="0"/>
        <v>18550</v>
      </c>
    </row>
    <row r="55" spans="2:7" ht="15.75" customHeight="1" thickBot="1">
      <c r="B55" s="122" t="str">
        <f>'条件'!A63</f>
        <v>180°　　</v>
      </c>
      <c r="C55" s="123">
        <f>IF(AND('条件'!$J63=0,'条件'!$D63=0),"Turn over",IF(AND('条件'!$J63=0,'条件'!$P63=0),"Turn over",IF(AND('条件'!$D63=0,'条件'!$V63=0),"Turn over",IF(AND('条件'!$V63=0,'条件'!$P63=0),"Turn over",IF(AND('条件'!$J63&gt;0,'条件'!$D63=0,'条件'!$V63&gt;0,'条件'!$P63&gt;0),"0 kgf",ROUNDUP('条件'!D63*0.2,0)*5)))))</f>
        <v>6175</v>
      </c>
      <c r="D55" s="124">
        <f>IF(AND('条件'!$J63=0,'条件'!$D63=0),"Turn over",IF(AND('条件'!$J63=0,'条件'!$P63=0),"Turn over",IF(AND('条件'!$D63=0,'条件'!$V63=0),"Turn over",IF(AND('条件'!$V63=0,'条件'!$P63=0),"Turn over",IF(AND('条件'!$J63=0,'条件'!$D63&gt;0,'条件'!$V63&gt;0,'条件'!$P63&gt;0),"0 kgf",ROUNDUP('条件'!J63*0.2,0)*5)))))</f>
        <v>3100</v>
      </c>
      <c r="E55" s="124">
        <f>IF(AND('条件'!$J63=0,'条件'!$D63=0),"Turn over",IF(AND('条件'!$J63=0,'条件'!$P63=0),"Turn over",IF(AND('条件'!$D63=0,'条件'!$V63=0),"Turn over",IF(AND('条件'!$V63=0,'条件'!$P63=0),"Turn over",IF(AND('条件'!$J63&gt;0,'条件'!$D63&gt;0,'条件'!$V63&gt;0,'条件'!$P63=0),"0 kgf",ROUNDUP('条件'!P63*0.2,0)*5)))))</f>
        <v>3100</v>
      </c>
      <c r="F55" s="125">
        <f>IF(AND('条件'!$J63=0,'条件'!$D63=0),"Turn over",IF(AND('条件'!$J63=0,'条件'!$P63=0),"Turn over",IF(AND('条件'!$D63=0,'条件'!$V63=0),"Turn over",IF(AND('条件'!$V63=0,'条件'!$P63=0),"Turn over",IF(AND('条件'!$J63&gt;0,'条件'!$D63&gt;0,'条件'!$V63=0,'条件'!$P63&gt;0),"0 kgf",ROUNDUP('条件'!V63*0.2,0)*5)))))</f>
        <v>6175</v>
      </c>
      <c r="G55" s="103">
        <f t="shared" si="0"/>
        <v>18550</v>
      </c>
    </row>
    <row r="56" spans="3:6" ht="18.75" thickBot="1">
      <c r="C56" s="126"/>
      <c r="D56" s="127"/>
      <c r="E56" s="126"/>
      <c r="F56" s="126"/>
    </row>
    <row r="57" spans="2:7" ht="18.75" thickBot="1">
      <c r="B57" s="153" t="s">
        <v>206</v>
      </c>
      <c r="C57" s="128">
        <f>MAX(C19:C55)</f>
        <v>6695</v>
      </c>
      <c r="D57" s="129">
        <f>MAX(D19:D55)</f>
        <v>6165</v>
      </c>
      <c r="E57" s="129">
        <f>MAX(E19:E55)</f>
        <v>5670</v>
      </c>
      <c r="F57" s="130">
        <f>MAX(F19:F55)</f>
        <v>6175</v>
      </c>
      <c r="G57" s="108"/>
    </row>
    <row r="58" ht="18">
      <c r="B58" s="154"/>
    </row>
  </sheetData>
  <sheetProtection password="CA60" sheet="1" formatCells="0" formatColumns="0" formatRows="0" insertColumns="0" insertRows="0" insertHyperlinks="0" deleteColumns="0" deleteRows="0" sort="0" autoFilter="0" pivotTables="0"/>
  <mergeCells count="21">
    <mergeCell ref="B57:B58"/>
    <mergeCell ref="B6:B7"/>
    <mergeCell ref="B8:B9"/>
    <mergeCell ref="D4:D5"/>
    <mergeCell ref="B10:B11"/>
    <mergeCell ref="B12:B13"/>
    <mergeCell ref="B14:B15"/>
    <mergeCell ref="C6:C7"/>
    <mergeCell ref="F17:F18"/>
    <mergeCell ref="B17:B18"/>
    <mergeCell ref="C17:C18"/>
    <mergeCell ref="D17:D18"/>
    <mergeCell ref="E17:E18"/>
    <mergeCell ref="C10:C11"/>
    <mergeCell ref="D10:D11"/>
    <mergeCell ref="D8:D9"/>
    <mergeCell ref="C8:C9"/>
    <mergeCell ref="D12:D13"/>
    <mergeCell ref="C12:C13"/>
    <mergeCell ref="C4:C5"/>
    <mergeCell ref="B4:B5"/>
  </mergeCells>
  <dataValidations count="3">
    <dataValidation type="list" allowBlank="1" showInputMessage="1" showErrorMessage="1" sqref="C14">
      <formula1>"Max,Half,Min"</formula1>
    </dataValidation>
    <dataValidation type="list" allowBlank="1" showInputMessage="1" showErrorMessage="1" sqref="C8:C9">
      <formula1>"1,2,3,4,5"</formula1>
    </dataValidation>
    <dataValidation type="list" allowBlank="1" showInputMessage="1" showErrorMessage="1" sqref="C4:C5">
      <formula1>$H$4:$H$6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90" r:id="rId4"/>
  <colBreaks count="1" manualBreakCount="1">
    <brk id="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H102"/>
  <sheetViews>
    <sheetView showGridLines="0" zoomScalePageLayoutView="0" workbookViewId="0" topLeftCell="A19">
      <selection activeCell="AF46" sqref="AF46"/>
    </sheetView>
  </sheetViews>
  <sheetFormatPr defaultColWidth="9.00390625" defaultRowHeight="13.5"/>
  <cols>
    <col min="1" max="1" width="21.875" style="2" customWidth="1"/>
    <col min="2" max="31" width="3.125" style="2" customWidth="1"/>
    <col min="32" max="32" width="25.125" style="2" customWidth="1"/>
    <col min="33" max="33" width="5.00390625" style="2" customWidth="1"/>
    <col min="34" max="34" width="11.625" style="2" customWidth="1"/>
    <col min="35" max="16384" width="9.00390625" style="2" customWidth="1"/>
  </cols>
  <sheetData>
    <row r="1" spans="1:4" ht="18.75">
      <c r="A1" s="189" t="str">
        <f>Result!C6</f>
        <v>SPT1009</v>
      </c>
      <c r="B1" s="189"/>
      <c r="C1" s="1"/>
      <c r="D1" s="1" t="s">
        <v>131</v>
      </c>
    </row>
    <row r="2" ht="15"/>
    <row r="3" spans="1:9" ht="18" customHeight="1">
      <c r="A3" s="3" t="s">
        <v>132</v>
      </c>
      <c r="B3" s="3"/>
      <c r="C3" s="3"/>
      <c r="D3" s="4" t="s">
        <v>81</v>
      </c>
      <c r="E3" s="3"/>
      <c r="F3" s="4" t="s">
        <v>82</v>
      </c>
      <c r="G3" s="175">
        <f>VLOOKUP(A1,'参数'!A57:F67,I20+1,FALSE)</f>
        <v>6</v>
      </c>
      <c r="H3" s="175"/>
      <c r="I3" s="5" t="s">
        <v>83</v>
      </c>
    </row>
    <row r="4" spans="1:9" ht="18" customHeight="1">
      <c r="A4" s="3" t="s">
        <v>133</v>
      </c>
      <c r="B4" s="3"/>
      <c r="C4" s="3"/>
      <c r="D4" s="4" t="s">
        <v>48</v>
      </c>
      <c r="E4" s="3"/>
      <c r="F4" s="4" t="s">
        <v>84</v>
      </c>
      <c r="G4" s="184">
        <f>VLOOKUP(A1,'参数'!A4:B13,2,FALSE)</f>
        <v>2872</v>
      </c>
      <c r="H4" s="184"/>
      <c r="I4" s="5" t="s">
        <v>85</v>
      </c>
    </row>
    <row r="5" spans="1:9" ht="18" customHeight="1">
      <c r="A5" s="3" t="s">
        <v>114</v>
      </c>
      <c r="B5" s="3"/>
      <c r="C5" s="3"/>
      <c r="D5" s="4" t="s">
        <v>134</v>
      </c>
      <c r="E5" s="3"/>
      <c r="F5" s="4" t="s">
        <v>84</v>
      </c>
      <c r="G5" s="184">
        <f>VLOOKUP(A1,'参数'!A70:F80,'条件'!I20+1,FALSE)</f>
        <v>2.4</v>
      </c>
      <c r="H5" s="184"/>
      <c r="I5" s="5" t="s">
        <v>86</v>
      </c>
    </row>
    <row r="6" spans="1:9" ht="18" customHeight="1">
      <c r="A6" s="3" t="s">
        <v>135</v>
      </c>
      <c r="B6" s="3"/>
      <c r="C6" s="3"/>
      <c r="D6" s="4" t="s">
        <v>87</v>
      </c>
      <c r="E6" s="3"/>
      <c r="F6" s="4" t="s">
        <v>88</v>
      </c>
      <c r="G6" s="175">
        <f>VLOOKUP('条件'!A1,'参数'!A4:C13,3,FALSE)</f>
        <v>0.262</v>
      </c>
      <c r="H6" s="175"/>
      <c r="I6" s="5" t="s">
        <v>89</v>
      </c>
    </row>
    <row r="7" spans="1:9" ht="18" customHeight="1">
      <c r="A7" s="6" t="s">
        <v>136</v>
      </c>
      <c r="B7" s="3"/>
      <c r="C7" s="3"/>
      <c r="D7" s="4" t="s">
        <v>137</v>
      </c>
      <c r="E7" s="3"/>
      <c r="F7" s="4" t="s">
        <v>90</v>
      </c>
      <c r="G7" s="184">
        <f>VLOOKUP(A1,'参数'!A4:D13,4,FALSE)</f>
        <v>1056</v>
      </c>
      <c r="H7" s="184"/>
      <c r="I7" s="5" t="s">
        <v>91</v>
      </c>
    </row>
    <row r="8" spans="1:9" ht="18" customHeight="1">
      <c r="A8" s="6" t="s">
        <v>115</v>
      </c>
      <c r="B8" s="3"/>
      <c r="C8" s="3"/>
      <c r="D8" s="4" t="s">
        <v>138</v>
      </c>
      <c r="E8" s="3"/>
      <c r="F8" s="4" t="s">
        <v>90</v>
      </c>
      <c r="G8" s="175">
        <f>VLOOKUP(A1,'参数'!A4:E13,5,FALSE)</f>
        <v>0.22</v>
      </c>
      <c r="H8" s="175"/>
      <c r="I8" s="5" t="s">
        <v>92</v>
      </c>
    </row>
    <row r="9" spans="1:9" ht="18" customHeight="1">
      <c r="A9" s="3" t="s">
        <v>139</v>
      </c>
      <c r="B9" s="3"/>
      <c r="C9" s="3"/>
      <c r="D9" s="4" t="s">
        <v>52</v>
      </c>
      <c r="E9" s="3"/>
      <c r="F9" s="4" t="s">
        <v>93</v>
      </c>
      <c r="G9" s="184">
        <f>VLOOKUP(A1,'参数'!A4:G13,7,FALSE)</f>
        <v>8072</v>
      </c>
      <c r="H9" s="184"/>
      <c r="I9" s="5" t="s">
        <v>94</v>
      </c>
    </row>
    <row r="10" spans="1:9" ht="18" customHeight="1">
      <c r="A10" s="3" t="s">
        <v>140</v>
      </c>
      <c r="B10" s="3"/>
      <c r="C10" s="3"/>
      <c r="D10" s="4" t="s">
        <v>95</v>
      </c>
      <c r="E10" s="3"/>
      <c r="F10" s="4" t="s">
        <v>93</v>
      </c>
      <c r="G10" s="184">
        <f>VLOOKUP(A1,'参数'!A4:H13,8,FALSE)</f>
        <v>1.49</v>
      </c>
      <c r="H10" s="184"/>
      <c r="I10" s="5" t="s">
        <v>96</v>
      </c>
    </row>
    <row r="11" spans="1:9" ht="18" customHeight="1">
      <c r="A11" s="3" t="s">
        <v>141</v>
      </c>
      <c r="B11" s="3"/>
      <c r="C11" s="3"/>
      <c r="D11" s="4" t="s">
        <v>97</v>
      </c>
      <c r="E11" s="3"/>
      <c r="F11" s="4" t="s">
        <v>98</v>
      </c>
      <c r="G11" s="175">
        <f>VLOOKUP(A1,'参数'!A19:D28,VLOOKUP(Q20,'参数'!J4:K6,2,FALSE),FALSE)</f>
        <v>4.26</v>
      </c>
      <c r="H11" s="175"/>
      <c r="I11" s="3" t="s">
        <v>99</v>
      </c>
    </row>
    <row r="12" spans="1:9" ht="18" customHeight="1">
      <c r="A12" s="180" t="s">
        <v>142</v>
      </c>
      <c r="B12" s="181"/>
      <c r="C12" s="3"/>
      <c r="D12" s="4" t="s">
        <v>100</v>
      </c>
      <c r="E12" s="3"/>
      <c r="F12" s="4" t="s">
        <v>98</v>
      </c>
      <c r="G12" s="175">
        <f>VLOOKUP(A1,'参数'!A32:D41,VLOOKUP(Q20,'参数'!J4:K6,2,FALSE),FALSE)</f>
        <v>6.85</v>
      </c>
      <c r="H12" s="175"/>
      <c r="I12" s="5" t="s">
        <v>99</v>
      </c>
    </row>
    <row r="13" spans="1:9" ht="18" customHeight="1">
      <c r="A13" s="180" t="s">
        <v>75</v>
      </c>
      <c r="B13" s="181"/>
      <c r="C13" s="3"/>
      <c r="D13" s="4" t="s">
        <v>101</v>
      </c>
      <c r="E13" s="3"/>
      <c r="F13" s="4" t="s">
        <v>88</v>
      </c>
      <c r="G13" s="175">
        <f>VLOOKUP(A1,'参数'!A45:D54,VLOOKUP(Q20,'参数'!J4:K6,2,FALSE),FALSE)</f>
        <v>7.1</v>
      </c>
      <c r="H13" s="175"/>
      <c r="I13" s="5" t="s">
        <v>89</v>
      </c>
    </row>
    <row r="14" spans="1:9" ht="18" customHeight="1">
      <c r="A14" s="180" t="s">
        <v>76</v>
      </c>
      <c r="B14" s="181"/>
      <c r="C14" s="3"/>
      <c r="D14" s="4" t="s">
        <v>102</v>
      </c>
      <c r="E14" s="3"/>
      <c r="F14" s="4" t="s">
        <v>88</v>
      </c>
      <c r="G14" s="175">
        <f>VLOOKUP(A1,'参数'!F45:I54,VLOOKUP(Q20,'参数'!J4:K6,2,FALSE),FALSE)</f>
        <v>6.97</v>
      </c>
      <c r="H14" s="175"/>
      <c r="I14" s="5" t="s">
        <v>89</v>
      </c>
    </row>
    <row r="15" spans="1:9" ht="18" customHeight="1">
      <c r="A15" s="3" t="s">
        <v>117</v>
      </c>
      <c r="B15" s="3"/>
      <c r="C15" s="3"/>
      <c r="D15" s="4" t="s">
        <v>143</v>
      </c>
      <c r="E15" s="3"/>
      <c r="F15" s="4" t="s">
        <v>90</v>
      </c>
      <c r="G15" s="175">
        <f>VLOOKUP(A1,'参数'!A4:F13,6,FALSE)</f>
        <v>0.6</v>
      </c>
      <c r="H15" s="175"/>
      <c r="I15" s="3" t="s">
        <v>92</v>
      </c>
    </row>
    <row r="16" spans="1:9" ht="18" customHeight="1">
      <c r="A16" s="3" t="s">
        <v>116</v>
      </c>
      <c r="B16" s="3"/>
      <c r="C16" s="3"/>
      <c r="D16" s="4"/>
      <c r="E16" s="3"/>
      <c r="F16" s="4" t="s">
        <v>103</v>
      </c>
      <c r="G16" s="186">
        <v>1.25</v>
      </c>
      <c r="H16" s="186"/>
      <c r="I16" s="3"/>
    </row>
    <row r="17" spans="1:9" ht="18" customHeight="1">
      <c r="A17" s="3" t="s">
        <v>144</v>
      </c>
      <c r="B17" s="3"/>
      <c r="C17" s="3"/>
      <c r="D17" s="4"/>
      <c r="E17" s="3"/>
      <c r="F17" s="4" t="s">
        <v>90</v>
      </c>
      <c r="G17" s="186">
        <v>1.1</v>
      </c>
      <c r="H17" s="186"/>
      <c r="I17" s="3"/>
    </row>
    <row r="18" spans="1:9" ht="18" customHeight="1">
      <c r="A18" s="182"/>
      <c r="B18" s="183"/>
      <c r="C18" s="7"/>
      <c r="D18" s="8"/>
      <c r="E18" s="7"/>
      <c r="F18" s="8"/>
      <c r="G18" s="174"/>
      <c r="H18" s="174"/>
      <c r="I18" s="9"/>
    </row>
    <row r="19" ht="18" customHeight="1"/>
    <row r="20" spans="1:23" ht="18" customHeight="1">
      <c r="A20" s="10" t="s">
        <v>145</v>
      </c>
      <c r="B20" s="163">
        <f>G3</f>
        <v>6</v>
      </c>
      <c r="C20" s="163"/>
      <c r="D20" s="2" t="s">
        <v>104</v>
      </c>
      <c r="G20" s="2" t="s">
        <v>146</v>
      </c>
      <c r="I20" s="11">
        <f>Result!C8</f>
        <v>1</v>
      </c>
      <c r="J20" s="12" t="s">
        <v>118</v>
      </c>
      <c r="K20" s="12"/>
      <c r="L20" s="12"/>
      <c r="M20" s="12" t="s">
        <v>147</v>
      </c>
      <c r="N20" s="12"/>
      <c r="O20" s="12"/>
      <c r="P20" s="12"/>
      <c r="Q20" s="190" t="str">
        <f>Result!C14</f>
        <v>Max</v>
      </c>
      <c r="R20" s="190"/>
      <c r="S20" s="190"/>
      <c r="T20" s="12"/>
      <c r="U20" s="12"/>
      <c r="V20" s="12"/>
      <c r="W20" s="12"/>
    </row>
    <row r="21" ht="7.5" customHeight="1"/>
    <row r="22" spans="1:22" ht="18" customHeight="1">
      <c r="A22" s="13" t="s">
        <v>148</v>
      </c>
      <c r="B22" s="192">
        <f>Result!C10</f>
        <v>2.5</v>
      </c>
      <c r="C22" s="192"/>
      <c r="D22" s="2" t="s">
        <v>105</v>
      </c>
      <c r="F22" s="2" t="s">
        <v>119</v>
      </c>
      <c r="H22" s="193">
        <f>Result!C12</f>
        <v>5000</v>
      </c>
      <c r="I22" s="193"/>
      <c r="J22" s="2" t="s">
        <v>106</v>
      </c>
      <c r="L22" s="2" t="s">
        <v>120</v>
      </c>
      <c r="N22" s="176">
        <f>Result!C12</f>
        <v>5000</v>
      </c>
      <c r="O22" s="176"/>
      <c r="P22" s="2" t="s">
        <v>107</v>
      </c>
      <c r="Q22" s="14"/>
      <c r="R22" s="14" t="s">
        <v>149</v>
      </c>
      <c r="U22" s="2">
        <f>VLOOKUP(Result!C6,'条件'!AF29:AG38,2,FALSE)</f>
        <v>100</v>
      </c>
      <c r="V22" s="14" t="s">
        <v>108</v>
      </c>
    </row>
    <row r="24" spans="1:25" ht="15">
      <c r="A24" s="15" t="s">
        <v>0</v>
      </c>
      <c r="B24" s="177" t="s">
        <v>46</v>
      </c>
      <c r="C24" s="166"/>
      <c r="D24" s="166"/>
      <c r="E24" s="166"/>
      <c r="F24" s="166"/>
      <c r="G24" s="167"/>
      <c r="H24" s="165" t="s">
        <v>72</v>
      </c>
      <c r="I24" s="166"/>
      <c r="J24" s="166"/>
      <c r="K24" s="166"/>
      <c r="L24" s="166"/>
      <c r="M24" s="167"/>
      <c r="N24" s="165" t="s">
        <v>73</v>
      </c>
      <c r="O24" s="166"/>
      <c r="P24" s="166"/>
      <c r="Q24" s="166"/>
      <c r="R24" s="166"/>
      <c r="S24" s="167"/>
      <c r="T24" s="165" t="s">
        <v>74</v>
      </c>
      <c r="U24" s="166"/>
      <c r="V24" s="166"/>
      <c r="W24" s="166"/>
      <c r="X24" s="166"/>
      <c r="Y24" s="167"/>
    </row>
    <row r="25" spans="1:25" ht="15">
      <c r="A25" s="16"/>
      <c r="B25" s="178"/>
      <c r="C25" s="169"/>
      <c r="D25" s="169"/>
      <c r="E25" s="169"/>
      <c r="F25" s="169"/>
      <c r="G25" s="170"/>
      <c r="H25" s="168"/>
      <c r="I25" s="169"/>
      <c r="J25" s="169"/>
      <c r="K25" s="169"/>
      <c r="L25" s="169"/>
      <c r="M25" s="170"/>
      <c r="N25" s="168"/>
      <c r="O25" s="169"/>
      <c r="P25" s="169"/>
      <c r="Q25" s="169"/>
      <c r="R25" s="169"/>
      <c r="S25" s="170"/>
      <c r="T25" s="168"/>
      <c r="U25" s="169"/>
      <c r="V25" s="169"/>
      <c r="W25" s="169"/>
      <c r="X25" s="169"/>
      <c r="Y25" s="170"/>
    </row>
    <row r="26" spans="1:25" ht="6" customHeight="1" thickBot="1">
      <c r="A26" s="17"/>
      <c r="B26" s="179"/>
      <c r="C26" s="172"/>
      <c r="D26" s="172"/>
      <c r="E26" s="172"/>
      <c r="F26" s="172"/>
      <c r="G26" s="173"/>
      <c r="H26" s="171"/>
      <c r="I26" s="172"/>
      <c r="J26" s="172"/>
      <c r="K26" s="172"/>
      <c r="L26" s="172"/>
      <c r="M26" s="173"/>
      <c r="N26" s="171"/>
      <c r="O26" s="172"/>
      <c r="P26" s="172"/>
      <c r="Q26" s="172"/>
      <c r="R26" s="172"/>
      <c r="S26" s="173"/>
      <c r="T26" s="171"/>
      <c r="U26" s="172"/>
      <c r="V26" s="172"/>
      <c r="W26" s="172"/>
      <c r="X26" s="172"/>
      <c r="Y26" s="173"/>
    </row>
    <row r="27" spans="1:25" ht="12.75" customHeight="1" thickTop="1">
      <c r="A27" s="18" t="s">
        <v>8</v>
      </c>
      <c r="B27" s="19"/>
      <c r="C27" s="20"/>
      <c r="D27" s="185">
        <f>IF(AND('公式'!$S5&gt;0,'公式'!$R5&gt;0,'公式'!$U5&gt;0,'公式'!$T5&gt;0),'公式'!$R5,IF(AND('公式'!$S5&gt;0,'公式'!$R5&gt;0,'公式'!$U5&lt;0,'公式'!$T5&gt;0,'公式'!$AC5&gt;0,'公式'!$AB5&gt;0,'公式'!AD5&gt;0),'公式'!$AB5,IF('公式'!$AG5&gt;0,'公式'!$AG5,0)))</f>
        <v>3602.389597800442</v>
      </c>
      <c r="E27" s="185"/>
      <c r="F27" s="21" t="s">
        <v>91</v>
      </c>
      <c r="G27" s="20"/>
      <c r="H27" s="22"/>
      <c r="I27" s="20"/>
      <c r="J27" s="185">
        <f>IF(AND('公式'!$S5&gt;0,'公式'!$R5&gt;0,'公式'!$U5&gt;0,'公式'!$T5&gt;0),'公式'!$S5,IF(AND('公式'!$S5&gt;0,'公式'!$R5&gt;0,'公式'!$U5&lt;0,'公式'!$T5&gt;0,'公式'!$AC5&gt;0,'公式'!$AB5&gt;0,'公式'!AD5&gt;0),'公式'!$AC5,IF('公式'!$AH5&gt;0,'公式'!$AH5,0)))</f>
        <v>5666.210402199558</v>
      </c>
      <c r="K27" s="185"/>
      <c r="L27" s="20" t="s">
        <v>91</v>
      </c>
      <c r="M27" s="23"/>
      <c r="N27" s="22"/>
      <c r="O27" s="20"/>
      <c r="P27" s="187">
        <f>IF(AND('公式'!$S5&gt;0,'公式'!$R5&gt;0,'公式'!$U5&gt;0,'公式'!$T5&gt;0),'公式'!$T5,IF(AND('公式'!$S5&gt;0,'公式'!$R5&gt;0,'公式'!$U5&lt;0,'公式'!$T5&gt;0,'公式'!$AC5&gt;0,'公式'!$AB5&gt;0,'公式'!AD5&gt;0),'公式'!$AD5,0))</f>
        <v>5666.210402199558</v>
      </c>
      <c r="Q27" s="187"/>
      <c r="R27" s="20" t="s">
        <v>91</v>
      </c>
      <c r="S27" s="23"/>
      <c r="T27" s="20"/>
      <c r="U27" s="20"/>
      <c r="V27" s="185">
        <f>IF(AND('公式'!$S5&gt;0,'公式'!$R5&gt;0,'公式'!$U5&gt;0,'公式'!$T5&gt;0),'公式'!$U5,IF(AND('公式'!$S5&gt;0,'公式'!$R5&gt;0,'公式'!$U5&gt;0,'公式'!$T5&lt;0,'公式'!$AH5&gt;0,'公式'!$AG5&gt;0,'公式'!$AI5&gt;0),'公式'!$AI5,0))</f>
        <v>3602.389597800442</v>
      </c>
      <c r="W27" s="185"/>
      <c r="X27" s="20" t="s">
        <v>91</v>
      </c>
      <c r="Y27" s="23"/>
    </row>
    <row r="28" spans="1:32" ht="12.75" customHeight="1">
      <c r="A28" s="24" t="s">
        <v>9</v>
      </c>
      <c r="B28" s="25"/>
      <c r="C28" s="26"/>
      <c r="D28" s="161">
        <f>IF(AND('公式'!$S6&gt;0,'公式'!$R6&gt;0,'公式'!$U6&gt;0,'公式'!$T6&gt;0),'公式'!$R6,IF(AND('公式'!$S6&gt;0,'公式'!$R6&gt;0,'公式'!$U6&lt;0,'公式'!$T6&gt;0,'公式'!$AC6&gt;0,'公式'!$AB6&gt;0,'公式'!AD6&gt;0),'公式'!$AB6,IF('公式'!$AG6&gt;0,'公式'!$AG6,0)))</f>
        <v>3717.7355212666416</v>
      </c>
      <c r="E28" s="161"/>
      <c r="F28" s="27" t="s">
        <v>91</v>
      </c>
      <c r="G28" s="26"/>
      <c r="H28" s="28"/>
      <c r="I28" s="3"/>
      <c r="J28" s="161">
        <f>IF(AND('公式'!$S6&gt;0,'公式'!$R6&gt;0,'公式'!$U6&gt;0,'公式'!$T6&gt;0),'公式'!$S6,IF(AND('公式'!$S6&gt;0,'公式'!$R6&gt;0,'公式'!$U6&lt;0,'公式'!$T6&gt;0,'公式'!$AC6&gt;0,'公式'!$AB6&gt;0,'公式'!AD6&gt;0),'公式'!$AC6,IF('公式'!$AH6&gt;0,'公式'!$AH6,0)))</f>
        <v>5768.765660910206</v>
      </c>
      <c r="K28" s="161"/>
      <c r="L28" s="3" t="s">
        <v>91</v>
      </c>
      <c r="M28" s="29"/>
      <c r="N28" s="30"/>
      <c r="O28" s="26"/>
      <c r="P28" s="161">
        <f>IF(AND('公式'!$S6&gt;0,'公式'!$R6&gt;0,'公式'!$U6&gt;0,'公式'!$T6&gt;0),'公式'!$T6,IF(AND('公式'!$S6&gt;0,'公式'!$R6&gt;0,'公式'!$U6&lt;0,'公式'!$T6&gt;0,'公式'!$AC6&gt;0,'公式'!$AB6&gt;0,'公式'!AD6&gt;0),'公式'!$AD6,0))</f>
        <v>5552.877780345511</v>
      </c>
      <c r="Q28" s="161"/>
      <c r="R28" s="26" t="s">
        <v>91</v>
      </c>
      <c r="S28" s="31"/>
      <c r="T28" s="26"/>
      <c r="U28" s="26"/>
      <c r="V28" s="161">
        <f>IF(AND('公式'!$S6&gt;0,'公式'!$R6&gt;0,'公式'!$U6&gt;0,'公式'!$T6&gt;0),'公式'!$U6,IF(AND('公式'!$S6&gt;0,'公式'!$R6&gt;0,'公式'!$U6&gt;0,'公式'!$T6&lt;0,'公式'!$AH6&gt;0,'公式'!$AG6&gt;0,'公式'!$AI6&gt;0),'公式'!$AI6,0))</f>
        <v>3497.821037477641</v>
      </c>
      <c r="W28" s="161"/>
      <c r="X28" s="26" t="s">
        <v>91</v>
      </c>
      <c r="Y28" s="31"/>
      <c r="AE28" s="26"/>
      <c r="AF28" s="32" t="s">
        <v>150</v>
      </c>
    </row>
    <row r="29" spans="1:33" ht="12.75" customHeight="1">
      <c r="A29" s="33" t="s">
        <v>10</v>
      </c>
      <c r="B29" s="34"/>
      <c r="C29" s="3"/>
      <c r="D29" s="161">
        <f>IF(AND('公式'!$S7&gt;0,'公式'!$R7&gt;0,'公式'!$U7&gt;0,'公式'!$T7&gt;0),'公式'!$R7,IF(AND('公式'!$S7&gt;0,'公式'!$R7&gt;0,'公式'!$U7&lt;0,'公式'!$T7&gt;0,'公式'!$AC7&gt;0,'公式'!$AB7&gt;0,'公式'!AD7&gt;0),'公式'!$AB7,IF('公式'!$AG7&gt;0,'公式'!$AG7,0)))</f>
        <v>3841.9743049448125</v>
      </c>
      <c r="E29" s="161"/>
      <c r="F29" s="4" t="s">
        <v>85</v>
      </c>
      <c r="G29" s="3"/>
      <c r="H29" s="28"/>
      <c r="I29" s="3"/>
      <c r="J29" s="161">
        <f>IF(AND('公式'!$S7&gt;0,'公式'!$R7&gt;0,'公式'!$U7&gt;0,'公式'!$T7&gt;0),'公式'!$S7,IF(AND('公式'!$S7&gt;0,'公式'!$R7&gt;0,'公式'!$U7&lt;0,'公式'!$T7&gt;0,'公式'!$AC7&gt;0,'公式'!$AB7&gt;0,'公式'!AD7&gt;0),'公式'!$AC7,IF('公式'!$AH7&gt;0,'公式'!$AH7,0)))</f>
        <v>5860.769699840185</v>
      </c>
      <c r="K29" s="161"/>
      <c r="L29" s="3" t="s">
        <v>85</v>
      </c>
      <c r="M29" s="29"/>
      <c r="N29" s="28"/>
      <c r="O29" s="3"/>
      <c r="P29" s="161">
        <f>IF(AND('公式'!$S7&gt;0,'公式'!$R7&gt;0,'公式'!$U7&gt;0,'公式'!$T7&gt;0),'公式'!$T7,IF(AND('公式'!$S7&gt;0,'公式'!$R7&gt;0,'公式'!$U7&lt;0,'公式'!$T7&gt;0,'公式'!$AC7&gt;0,'公式'!$AB7&gt;0,'公式'!AD7&gt;0),'公式'!$AD7,0))</f>
        <v>5430.63697583856</v>
      </c>
      <c r="Q29" s="161"/>
      <c r="R29" s="3" t="s">
        <v>85</v>
      </c>
      <c r="S29" s="29"/>
      <c r="T29" s="3"/>
      <c r="U29" s="3"/>
      <c r="V29" s="161">
        <f>IF(AND('公式'!$S7&gt;0,'公式'!$R7&gt;0,'公式'!$U7&gt;0,'公式'!$T7&gt;0),'公式'!$U7,IF(AND('公式'!$S7&gt;0,'公式'!$R7&gt;0,'公式'!$U7&gt;0,'公式'!$T7&lt;0,'公式'!$AH7&gt;0,'公式'!$AG7&gt;0,'公式'!$AI7&gt;0),'公式'!$AI7,0))</f>
        <v>3403.819019376442</v>
      </c>
      <c r="W29" s="161"/>
      <c r="X29" s="3" t="s">
        <v>85</v>
      </c>
      <c r="Y29" s="29"/>
      <c r="AE29" s="35"/>
      <c r="AF29" s="36"/>
      <c r="AG29" s="37"/>
    </row>
    <row r="30" spans="1:33" ht="12.75" customHeight="1">
      <c r="A30" s="24" t="s">
        <v>11</v>
      </c>
      <c r="B30" s="25"/>
      <c r="C30" s="26"/>
      <c r="D30" s="161">
        <f>IF(AND('公式'!$S8&gt;0,'公式'!$R8&gt;0,'公式'!$U8&gt;0,'公式'!$T8&gt;0),'公式'!$R8,IF(AND('公式'!$S8&gt;0,'公式'!$R8&gt;0,'公式'!$U8&lt;0,'公式'!$T8&gt;0,'公式'!$AC8&gt;0,'公式'!$AB8&gt;0,'公式'!AD8&gt;0),'公式'!$AB8,IF('公式'!$AG8&gt;0,'公式'!$AG8,0)))</f>
        <v>3974.1604166737375</v>
      </c>
      <c r="E30" s="161"/>
      <c r="F30" s="27" t="s">
        <v>85</v>
      </c>
      <c r="G30" s="26"/>
      <c r="H30" s="28"/>
      <c r="I30" s="3"/>
      <c r="J30" s="161">
        <f>IF(AND('公式'!$S8&gt;0,'公式'!$R8&gt;0,'公式'!$U8&gt;0,'公式'!$T8&gt;0),'公式'!$S8,IF(AND('公式'!$S8&gt;0,'公式'!$R8&gt;0,'公式'!$U8&lt;0,'公式'!$T8&gt;0,'公式'!$AC8&gt;0,'公式'!$AB8&gt;0,'公式'!AD8&gt;0),'公式'!$AC8,IF('公式'!$AH8&gt;0,'公式'!$AH8,0)))</f>
        <v>5941.522312699681</v>
      </c>
      <c r="K30" s="161"/>
      <c r="L30" s="3" t="s">
        <v>85</v>
      </c>
      <c r="M30" s="29"/>
      <c r="N30" s="30"/>
      <c r="O30" s="26"/>
      <c r="P30" s="161">
        <f>IF(AND('公式'!$S8&gt;0,'公式'!$R8&gt;0,'公式'!$U8&gt;0,'公式'!$T8&gt;0),'公式'!$T8,IF(AND('公式'!$S8&gt;0,'公式'!$R8&gt;0,'公式'!$U8&lt;0,'公式'!$T8&gt;0,'公式'!$AC8&gt;0,'公式'!$AB8&gt;0,'公式'!AD8&gt;0),'公式'!$AD8,0))</f>
        <v>5300.418315012015</v>
      </c>
      <c r="Q30" s="161"/>
      <c r="R30" s="26" t="s">
        <v>85</v>
      </c>
      <c r="S30" s="31"/>
      <c r="T30" s="26"/>
      <c r="U30" s="26"/>
      <c r="V30" s="161">
        <f>IF(AND('公式'!$S8&gt;0,'公式'!$R8&gt;0,'公式'!$U8&gt;0,'公式'!$T8&gt;0),'公式'!$U8,IF(AND('公式'!$S8&gt;0,'公式'!$R8&gt;0,'公式'!$U8&gt;0,'公式'!$T8&lt;0,'公式'!$AH8&gt;0,'公式'!$AG8&gt;0,'公式'!$AI8&gt;0),'公式'!$AI8,0))</f>
        <v>3321.0989556145664</v>
      </c>
      <c r="W30" s="161"/>
      <c r="X30" s="26" t="s">
        <v>85</v>
      </c>
      <c r="Y30" s="31"/>
      <c r="AE30" s="35"/>
      <c r="AF30" s="36"/>
      <c r="AG30" s="37"/>
    </row>
    <row r="31" spans="1:33" ht="12.75" customHeight="1">
      <c r="A31" s="33" t="s">
        <v>12</v>
      </c>
      <c r="B31" s="34"/>
      <c r="C31" s="3"/>
      <c r="D31" s="161">
        <f>IF(AND('公式'!$S9&gt;0,'公式'!$R9&gt;0,'公式'!$U9&gt;0,'公式'!$T9&gt;0),'公式'!$R9,IF(AND('公式'!$S9&gt;0,'公式'!$R9&gt;0,'公式'!$U9&lt;0,'公式'!$T9&gt;0,'公式'!$AC9&gt;0,'公式'!$AB9&gt;0,'公式'!AD9&gt;0),'公式'!$AB9,IF('公式'!$AG9&gt;0,'公式'!$AG9,0)))</f>
        <v>4113.287840327</v>
      </c>
      <c r="E31" s="161"/>
      <c r="F31" s="4" t="s">
        <v>85</v>
      </c>
      <c r="G31" s="3"/>
      <c r="H31" s="28"/>
      <c r="I31" s="3"/>
      <c r="J31" s="161">
        <f>IF(AND('公式'!$S9&gt;0,'公式'!$R9&gt;0,'公式'!$U9&gt;0,'公式'!$T9&gt;0),'公式'!$S9,IF(AND('公式'!$S9&gt;0,'公式'!$R9&gt;0,'公式'!$U9&lt;0,'公式'!$T9&gt;0,'公式'!$AC9&gt;0,'公式'!$AB9&gt;0,'公式'!AD9&gt;0),'公式'!$AC9,IF('公式'!$AH9&gt;0,'公式'!$AH9,0)))</f>
        <v>6010.408923345071</v>
      </c>
      <c r="K31" s="161"/>
      <c r="L31" s="3" t="s">
        <v>85</v>
      </c>
      <c r="M31" s="29"/>
      <c r="N31" s="28"/>
      <c r="O31" s="3"/>
      <c r="P31" s="161">
        <f>IF(AND('公式'!$S9&gt;0,'公式'!$R9&gt;0,'公式'!$U9&gt;0,'公式'!$T9&gt;0),'公式'!$T9,IF(AND('公式'!$S9&gt;0,'公式'!$R9&gt;0,'公式'!$U9&lt;0,'公式'!$T9&gt;0,'公式'!$AC9&gt;0,'公式'!$AB9&gt;0,'公式'!AD9&gt;0),'公式'!$AD9,0))</f>
        <v>5163.212840502948</v>
      </c>
      <c r="Q31" s="161"/>
      <c r="R31" s="3" t="s">
        <v>85</v>
      </c>
      <c r="S31" s="29"/>
      <c r="T31" s="3"/>
      <c r="U31" s="3"/>
      <c r="V31" s="161">
        <f>IF(AND('公式'!$S9&gt;0,'公式'!$R9&gt;0,'公式'!$U9&gt;0,'公式'!$T9&gt;0),'公式'!$U9,IF(AND('公式'!$S9&gt;0,'公式'!$R9&gt;0,'公式'!$U9&gt;0,'公式'!$T9&lt;0,'公式'!$AH9&gt;0,'公式'!$AG9&gt;0,'公式'!$AI9&gt;0),'公式'!$AI9,0))</f>
        <v>3250.290395824981</v>
      </c>
      <c r="W31" s="161"/>
      <c r="X31" s="3" t="s">
        <v>85</v>
      </c>
      <c r="Y31" s="29"/>
      <c r="AE31" s="35"/>
      <c r="AF31" s="36"/>
      <c r="AG31" s="37"/>
    </row>
    <row r="32" spans="1:33" ht="12.75" customHeight="1">
      <c r="A32" s="24" t="s">
        <v>13</v>
      </c>
      <c r="B32" s="25"/>
      <c r="C32" s="26"/>
      <c r="D32" s="161">
        <f>IF(AND('公式'!$S10&gt;0,'公式'!$R10&gt;0,'公式'!$U10&gt;0,'公式'!$T10&gt;0),'公式'!$R10,IF(AND('公式'!$S10&gt;0,'公式'!$R10&gt;0,'公式'!$U10&lt;0,'公式'!$T10&gt;0,'公式'!$AC10&gt;0,'公式'!$AB10&gt;0,'公式'!AD10&gt;0),'公式'!$AB10,IF('公式'!$AG10&gt;0,'公式'!$AG10,0)))</f>
        <v>4258.297732203166</v>
      </c>
      <c r="E32" s="161"/>
      <c r="F32" s="27" t="s">
        <v>85</v>
      </c>
      <c r="G32" s="26"/>
      <c r="H32" s="28"/>
      <c r="I32" s="3"/>
      <c r="J32" s="161">
        <f>IF(AND('公式'!$S10&gt;0,'公式'!$R10&gt;0,'公式'!$U10&gt;0,'公式'!$T10&gt;0),'公式'!$S10,IF(AND('公式'!$S10&gt;0,'公式'!$R10&gt;0,'公式'!$U10&lt;0,'公式'!$T10&gt;0,'公式'!$AC10&gt;0,'公式'!$AB10&gt;0,'公式'!AD10&gt;0),'公式'!$AC10,IF('公式'!$AH10&gt;0,'公式'!$AH10,0)))</f>
        <v>6066.905263074472</v>
      </c>
      <c r="K32" s="161"/>
      <c r="L32" s="3" t="s">
        <v>85</v>
      </c>
      <c r="M32" s="29"/>
      <c r="N32" s="30"/>
      <c r="O32" s="26"/>
      <c r="P32" s="161">
        <f>IF(AND('公式'!$S10&gt;0,'公式'!$R10&gt;0,'公式'!$U10&gt;0,'公式'!$T10&gt;0),'公式'!$T10,IF(AND('公式'!$S10&gt;0,'公式'!$R10&gt;0,'公式'!$U10&lt;0,'公式'!$T10&gt;0,'公式'!$AC10&gt;0,'公式'!$AB10&gt;0,'公式'!AD10&gt;0),'公式'!$AD10,0))</f>
        <v>5020.0647688193</v>
      </c>
      <c r="Q32" s="161"/>
      <c r="R32" s="26" t="s">
        <v>85</v>
      </c>
      <c r="S32" s="31"/>
      <c r="T32" s="26"/>
      <c r="U32" s="26"/>
      <c r="V32" s="161">
        <f>IF(AND('公式'!$S10&gt;0,'公式'!$R10&gt;0,'公式'!$U10&gt;0,'公式'!$T10&gt;0),'公式'!$U10,IF(AND('公式'!$S10&gt;0,'公式'!$R10&gt;0,'公式'!$U10&gt;0,'公式'!$T10&lt;0,'公式'!$AH10&gt;0,'公式'!$AG10&gt;0,'公式'!$AI10&gt;0),'公式'!$AI10,0))</f>
        <v>3191.9322359030625</v>
      </c>
      <c r="W32" s="161"/>
      <c r="X32" s="26" t="s">
        <v>85</v>
      </c>
      <c r="Y32" s="31"/>
      <c r="AE32" s="35"/>
      <c r="AF32" s="36"/>
      <c r="AG32" s="37"/>
    </row>
    <row r="33" spans="1:33" ht="12.75" customHeight="1">
      <c r="A33" s="33" t="s">
        <v>14</v>
      </c>
      <c r="B33" s="34"/>
      <c r="C33" s="3"/>
      <c r="D33" s="161">
        <f>IF(AND('公式'!$S11&gt;0,'公式'!$R11&gt;0,'公式'!$U11&gt;0,'公式'!$T11&gt;0),'公式'!$R11,IF(AND('公式'!$S11&gt;0,'公式'!$R11&gt;0,'公式'!$U11&lt;0,'公式'!$T11&gt;0,'公式'!$AC11&gt;0,'公式'!$AB11&gt;0,'公式'!AD11&gt;0),'公式'!$AB11,IF('公式'!$AG11&gt;0,'公式'!$AG11,0)))</f>
        <v>4408.086479465687</v>
      </c>
      <c r="E33" s="161"/>
      <c r="F33" s="4" t="s">
        <v>85</v>
      </c>
      <c r="G33" s="3"/>
      <c r="H33" s="28"/>
      <c r="I33" s="3"/>
      <c r="J33" s="161">
        <f>IF(AND('公式'!$S11&gt;0,'公式'!$R11&gt;0,'公式'!$U11&gt;0,'公式'!$T11&gt;0),'公式'!$S11,IF(AND('公式'!$S11&gt;0,'公式'!$R11&gt;0,'公式'!$U11&lt;0,'公式'!$T11&gt;0,'公式'!$AC11&gt;0,'公式'!$AB11&gt;0,'公式'!AD11&gt;0),'公式'!$AC11,IF('公式'!$AH11&gt;0,'公式'!$AH11,0)))</f>
        <v>6110.58136062912</v>
      </c>
      <c r="K33" s="161"/>
      <c r="L33" s="3" t="s">
        <v>85</v>
      </c>
      <c r="M33" s="29"/>
      <c r="N33" s="28"/>
      <c r="O33" s="3"/>
      <c r="P33" s="161">
        <f>IF(AND('公式'!$S11&gt;0,'公式'!$R11&gt;0,'公式'!$U11&gt;0,'公式'!$T11&gt;0),'公式'!$T11,IF(AND('公式'!$S11&gt;0,'公式'!$R11&gt;0,'公式'!$U11&lt;0,'公式'!$T11&gt;0,'公式'!$AC11&gt;0,'公式'!$AB11&gt;0,'公式'!AD11&gt;0),'公式'!$AD11,0))</f>
        <v>4872.063543221756</v>
      </c>
      <c r="Q33" s="161"/>
      <c r="R33" s="3" t="s">
        <v>85</v>
      </c>
      <c r="S33" s="29"/>
      <c r="T33" s="3"/>
      <c r="U33" s="3"/>
      <c r="V33" s="161">
        <f>IF(AND('公式'!$S11&gt;0,'公式'!$R11&gt;0,'公式'!$U11&gt;0,'公式'!$T11&gt;0),'公式'!$U11,IF(AND('公式'!$S11&gt;0,'公式'!$R11&gt;0,'公式'!$U11&gt;0,'公式'!$T11&lt;0,'公式'!$AH11&gt;0,'公式'!$AG11&gt;0,'公式'!$AI11&gt;0),'公式'!$AI11,0))</f>
        <v>3146.4686166834367</v>
      </c>
      <c r="W33" s="161"/>
      <c r="X33" s="3" t="s">
        <v>85</v>
      </c>
      <c r="Y33" s="29"/>
      <c r="AE33" s="35"/>
      <c r="AF33" s="36" t="s">
        <v>127</v>
      </c>
      <c r="AG33" s="37">
        <v>42</v>
      </c>
    </row>
    <row r="34" spans="1:33" ht="12.75" customHeight="1">
      <c r="A34" s="24" t="s">
        <v>15</v>
      </c>
      <c r="B34" s="25"/>
      <c r="C34" s="26"/>
      <c r="D34" s="161">
        <f>IF(AND('公式'!$S12&gt;0,'公式'!$R12&gt;0,'公式'!$U12&gt;0,'公式'!$T12&gt;0),'公式'!$R12,IF(AND('公式'!$S12&gt;0,'公式'!$R12&gt;0,'公式'!$U12&lt;0,'公式'!$T12&gt;0,'公式'!$AC12&gt;0,'公式'!$AB12&gt;0,'公式'!AD12&gt;0),'公式'!$AB12,IF('公式'!$AG12&gt;0,'公式'!$AG12,0)))</f>
        <v>4561.514099302984</v>
      </c>
      <c r="E34" s="161"/>
      <c r="F34" s="27" t="s">
        <v>85</v>
      </c>
      <c r="G34" s="26"/>
      <c r="H34" s="28"/>
      <c r="I34" s="3"/>
      <c r="J34" s="161">
        <f>IF(AND('公式'!$S12&gt;0,'公式'!$R12&gt;0,'公式'!$U12&gt;0,'公式'!$T12&gt;0),'公式'!$S12,IF(AND('公式'!$S12&gt;0,'公式'!$R12&gt;0,'公式'!$U12&lt;0,'公式'!$T12&gt;0,'公式'!$AC12&gt;0,'公式'!$AB12&gt;0,'公式'!AD12&gt;0),'公式'!$AC12,IF('公式'!$AH12&gt;0,'公式'!$AH12,0)))</f>
        <v>6141.104814534276</v>
      </c>
      <c r="K34" s="161"/>
      <c r="L34" s="3" t="s">
        <v>85</v>
      </c>
      <c r="M34" s="29"/>
      <c r="N34" s="30"/>
      <c r="O34" s="26"/>
      <c r="P34" s="161">
        <f>IF(AND('公式'!$S12&gt;0,'公式'!$R12&gt;0,'公式'!$U12&gt;0,'公式'!$T12&gt;0),'公式'!$T12,IF(AND('公式'!$S12&gt;0,'公式'!$R12&gt;0,'公式'!$U12&lt;0,'公式'!$T12&gt;0,'公式'!$AC12&gt;0,'公式'!$AB12&gt;0,'公式'!AD12&gt;0),'公式'!$AD12,0))</f>
        <v>4720.335542402692</v>
      </c>
      <c r="Q34" s="161"/>
      <c r="R34" s="26" t="s">
        <v>85</v>
      </c>
      <c r="S34" s="31"/>
      <c r="T34" s="26"/>
      <c r="U34" s="26"/>
      <c r="V34" s="161">
        <f>IF(AND('公式'!$S12&gt;0,'公式'!$R12&gt;0,'公式'!$U12&gt;0,'公式'!$T12&gt;0),'公式'!$U12,IF(AND('公式'!$S12&gt;0,'公式'!$R12&gt;0,'公式'!$U12&gt;0,'公式'!$T12&lt;0,'公式'!$AH12&gt;0,'公式'!$AG12&gt;0,'公式'!$AI12&gt;0),'公式'!$AI12,0))</f>
        <v>3114.2455437600497</v>
      </c>
      <c r="W34" s="161"/>
      <c r="X34" s="26" t="s">
        <v>85</v>
      </c>
      <c r="Y34" s="31"/>
      <c r="AE34" s="35"/>
      <c r="AF34" s="36" t="s">
        <v>187</v>
      </c>
      <c r="AG34" s="37">
        <v>55</v>
      </c>
    </row>
    <row r="35" spans="1:33" ht="12.75" customHeight="1">
      <c r="A35" s="33" t="s">
        <v>16</v>
      </c>
      <c r="B35" s="34"/>
      <c r="C35" s="3"/>
      <c r="D35" s="161">
        <f>IF(AND('公式'!$S13&gt;0,'公式'!$R13&gt;0,'公式'!$U13&gt;0,'公式'!$T13&gt;0),'公式'!$R13,IF(AND('公式'!$S13&gt;0,'公式'!$R13&gt;0,'公式'!$U13&lt;0,'公式'!$T13&gt;0,'公式'!$AC13&gt;0,'公式'!$AB13&gt;0,'公式'!AD13&gt;0),'公式'!$AB13,IF('公式'!$AG13&gt;0,'公式'!$AG13,0)))</f>
        <v>4717.412914885958</v>
      </c>
      <c r="E35" s="161"/>
      <c r="F35" s="4" t="s">
        <v>85</v>
      </c>
      <c r="G35" s="3"/>
      <c r="H35" s="28"/>
      <c r="I35" s="3"/>
      <c r="J35" s="161">
        <f>IF(AND('公式'!$S13&gt;0,'公式'!$R13&gt;0,'公式'!$U13&gt;0,'公式'!$T13&gt;0),'公式'!$S13,IF(AND('公式'!$S13&gt;0,'公式'!$R13&gt;0,'公式'!$U13&lt;0,'公式'!$T13&gt;0,'公式'!$AC13&gt;0,'公式'!$AB13&gt;0,'公式'!AD13&gt;0),'公式'!$AC13,IF('公式'!$AH13&gt;0,'公式'!$AH13,0)))</f>
        <v>6158.243322875155</v>
      </c>
      <c r="K35" s="161"/>
      <c r="L35" s="3" t="s">
        <v>85</v>
      </c>
      <c r="M35" s="29"/>
      <c r="N35" s="28"/>
      <c r="O35" s="3"/>
      <c r="P35" s="161">
        <f>IF(AND('公式'!$S13&gt;0,'公式'!$R13&gt;0,'公式'!$U13&gt;0,'公式'!$T13&gt;0),'公式'!$T13,IF(AND('公式'!$S13&gt;0,'公式'!$R13&gt;0,'公式'!$U13&lt;0,'公式'!$T13&gt;0,'公式'!$AC13&gt;0,'公式'!$AB13&gt;0,'公式'!AD13&gt;0),'公式'!$AD13,0))</f>
        <v>4566.035508064216</v>
      </c>
      <c r="Q35" s="161"/>
      <c r="R35" s="3" t="s">
        <v>85</v>
      </c>
      <c r="S35" s="29"/>
      <c r="T35" s="3"/>
      <c r="U35" s="3"/>
      <c r="V35" s="161">
        <f>IF(AND('公式'!$S13&gt;0,'公式'!$R13&gt;0,'公式'!$U13&gt;0,'公式'!$T13&gt;0),'公式'!$U13,IF(AND('公式'!$S13&gt;0,'公式'!$R13&gt;0,'公式'!$U13&gt;0,'公式'!$T13&lt;0,'公式'!$AH13&gt;0,'公式'!$AG13&gt;0,'公式'!$AI13&gt;0),'公式'!$AI13,0))</f>
        <v>3095.508254174671</v>
      </c>
      <c r="W35" s="161"/>
      <c r="X35" s="3" t="s">
        <v>85</v>
      </c>
      <c r="Y35" s="29"/>
      <c r="AE35" s="35"/>
      <c r="AF35" s="86" t="s">
        <v>189</v>
      </c>
      <c r="AG35" s="37">
        <v>100</v>
      </c>
    </row>
    <row r="36" spans="1:33" ht="12.75" customHeight="1">
      <c r="A36" s="38" t="s">
        <v>17</v>
      </c>
      <c r="B36" s="39"/>
      <c r="C36" s="40"/>
      <c r="D36" s="162">
        <f>IF(AND('公式'!$S14&gt;0,'公式'!$R14&gt;0,'公式'!$U14&gt;0,'公式'!$T14&gt;0),'公式'!$R14,IF(AND('公式'!$S14&gt;0,'公式'!$R14&gt;0,'公式'!$U14&lt;0,'公式'!$T14&gt;0,'公式'!$AC14&gt;0,'公式'!$AB14&gt;0,'公式'!AD14&gt;0),'公式'!$AB14,IF('公式'!$AG14&gt;0,'公式'!$AG14,0)))</f>
        <v>4874.596442093748</v>
      </c>
      <c r="E36" s="162"/>
      <c r="F36" s="41" t="s">
        <v>85</v>
      </c>
      <c r="G36" s="40"/>
      <c r="H36" s="42"/>
      <c r="I36" s="40"/>
      <c r="J36" s="162">
        <f>IF(AND('公式'!$S14&gt;0,'公式'!$R14&gt;0,'公式'!$U14&gt;0,'公式'!$T14&gt;0),'公式'!$S14,IF(AND('公式'!$S14&gt;0,'公式'!$R14&gt;0,'公式'!$U14&lt;0,'公式'!$T14&gt;0,'公式'!$AC14&gt;0,'公式'!$AB14&gt;0,'公式'!AD14&gt;0),'公式'!$AC14,IF('公式'!$AH14&gt;0,'公式'!$AH14,0)))</f>
        <v>6161.866451254771</v>
      </c>
      <c r="K36" s="162"/>
      <c r="L36" s="40" t="s">
        <v>85</v>
      </c>
      <c r="M36" s="43"/>
      <c r="N36" s="42"/>
      <c r="O36" s="40"/>
      <c r="P36" s="162">
        <f>IF(AND('公式'!$S14&gt;0,'公式'!$R14&gt;0,'公式'!$U14&gt;0,'公式'!$T14&gt;0),'公式'!$T14,IF(AND('公式'!$S14&gt;0,'公式'!$R14&gt;0,'公式'!$U14&lt;0,'公式'!$T14&gt;0,'公式'!$AC14&gt;0,'公式'!$AB14&gt;0,'公式'!AD14&gt;0),'公式'!$AD14,0))</f>
        <v>4410.3377566365525</v>
      </c>
      <c r="Q36" s="162"/>
      <c r="R36" s="40" t="s">
        <v>85</v>
      </c>
      <c r="S36" s="43"/>
      <c r="T36" s="40"/>
      <c r="U36" s="40"/>
      <c r="V36" s="188">
        <f>IF(AND('公式'!$S14&gt;0,'公式'!$R14&gt;0,'公式'!$U14&gt;0,'公式'!$T14&gt;0),'公式'!$U14,IF(AND('公式'!$S14&gt;0,'公式'!$R14&gt;0,'公式'!$U14&gt;0,'公式'!$T14&lt;0,'公式'!$AH14&gt;0,'公式'!$AG14&gt;0,'公式'!$AI14&gt;0),'公式'!$AI14,0))</f>
        <v>3090.39935001493</v>
      </c>
      <c r="W36" s="188"/>
      <c r="X36" s="40" t="s">
        <v>85</v>
      </c>
      <c r="Y36" s="43"/>
      <c r="AE36" s="35"/>
      <c r="AF36" s="36"/>
      <c r="AG36" s="37"/>
    </row>
    <row r="37" spans="1:33" ht="12.75" customHeight="1">
      <c r="A37" s="18" t="s">
        <v>18</v>
      </c>
      <c r="B37" s="19"/>
      <c r="C37" s="20"/>
      <c r="D37" s="185">
        <f>IF(AND('公式'!$S15&gt;0,'公式'!$R15&gt;0,'公式'!$U15&gt;0,'公式'!$T15&gt;0),'公式'!$R15,IF(AND('公式'!$S15&gt;0,'公式'!$R15&gt;0,'公式'!$U15&lt;0,'公式'!$T15&gt;0,'公式'!$AC15&gt;0,'公式'!$AB15&gt;0,'公式'!AD15&gt;0),'公式'!$AB15,IF('公式'!$AG15&gt;0,'公式'!$AG15,0)))</f>
        <v>5031.868419374293</v>
      </c>
      <c r="E37" s="185"/>
      <c r="F37" s="21" t="s">
        <v>85</v>
      </c>
      <c r="G37" s="20"/>
      <c r="H37" s="44"/>
      <c r="I37" s="45"/>
      <c r="J37" s="164">
        <f>IF(AND('公式'!$S15&gt;0,'公式'!$R15&gt;0,'公式'!$U15&gt;0,'公式'!$T15&gt;0),'公式'!$S15,IF(AND('公式'!$S15&gt;0,'公式'!$R15&gt;0,'公式'!$U15&lt;0,'公式'!$T15&gt;0,'公式'!$AC15&gt;0,'公式'!$AB15&gt;0,'公式'!AD15&gt;0),'公式'!$AC15,IF('公式'!$AH15&gt;0,'公式'!$AH15,0)))</f>
        <v>6151.946625478449</v>
      </c>
      <c r="K37" s="164"/>
      <c r="L37" s="45" t="s">
        <v>85</v>
      </c>
      <c r="M37" s="46"/>
      <c r="N37" s="22"/>
      <c r="O37" s="20"/>
      <c r="P37" s="185">
        <f>IF(AND('公式'!$S15&gt;0,'公式'!$R15&gt;0,'公式'!$U15&gt;0,'公式'!$T15&gt;0),'公式'!$T15,IF(AND('公式'!$S15&gt;0,'公式'!$R15&gt;0,'公式'!$U15&lt;0,'公式'!$T15&gt;0,'公式'!$AC15&gt;0,'公式'!$AB15&gt;0,'公式'!AD15&gt;0),'公式'!$AD15,0))</f>
        <v>4254.4272420209345</v>
      </c>
      <c r="Q37" s="185"/>
      <c r="R37" s="20" t="s">
        <v>85</v>
      </c>
      <c r="S37" s="23"/>
      <c r="T37" s="20"/>
      <c r="U37" s="20"/>
      <c r="V37" s="187">
        <f>IF(AND('公式'!$S15&gt;0,'公式'!$R15&gt;0,'公式'!$U15&gt;0,'公式'!$T15&gt;0),'公式'!$U15,IF(AND('公式'!$S15&gt;0,'公式'!$R15&gt;0,'公式'!$U15&gt;0,'公式'!$T15&lt;0,'公式'!$AH15&gt;0,'公式'!$AG15&gt;0,'公式'!$AI15&gt;0),'公式'!$AI15,0))</f>
        <v>3098.957713126323</v>
      </c>
      <c r="W37" s="187"/>
      <c r="X37" s="20" t="s">
        <v>85</v>
      </c>
      <c r="Y37" s="23"/>
      <c r="AE37" s="35"/>
      <c r="AF37" s="36"/>
      <c r="AG37" s="37"/>
    </row>
    <row r="38" spans="1:33" ht="12.75" customHeight="1">
      <c r="A38" s="24" t="s">
        <v>19</v>
      </c>
      <c r="B38" s="25"/>
      <c r="C38" s="26"/>
      <c r="D38" s="161">
        <f>IF(AND('公式'!$S16&gt;0,'公式'!$R16&gt;0,'公式'!$U16&gt;0,'公式'!$T16&gt;0),'公式'!$R16,IF(AND('公式'!$S16&gt;0,'公式'!$R16&gt;0,'公式'!$U16&lt;0,'公式'!$T16&gt;0,'公式'!$AC16&gt;0,'公式'!$AB16&gt;0,'公式'!AD16&gt;0),'公式'!$AB16,IF('公式'!$AG16&gt;0,'公式'!$AG16,0)))</f>
        <v>5188.0319120170725</v>
      </c>
      <c r="E38" s="161"/>
      <c r="F38" s="27" t="s">
        <v>85</v>
      </c>
      <c r="G38" s="26"/>
      <c r="H38" s="28"/>
      <c r="I38" s="3"/>
      <c r="J38" s="161">
        <f>IF(AND('公式'!$S16&gt;0,'公式'!$R16&gt;0,'公式'!$U16&gt;0,'公式'!$T16&gt;0),'公式'!$S16,IF(AND('公式'!$S16&gt;0,'公式'!$R16&gt;0,'公式'!$U16&lt;0,'公式'!$T16&gt;0,'公式'!$AC16&gt;0,'公式'!$AB16&gt;0,'公式'!AD16&gt;0),'公式'!$AC16,IF('公式'!$AH16&gt;0,'公式'!$AH16,0)))</f>
        <v>6128.559341410101</v>
      </c>
      <c r="K38" s="161"/>
      <c r="L38" s="3" t="s">
        <v>85</v>
      </c>
      <c r="M38" s="29"/>
      <c r="N38" s="30"/>
      <c r="O38" s="26"/>
      <c r="P38" s="161">
        <f>IF(AND('公式'!$S16&gt;0,'公式'!$R16&gt;0,'公式'!$U16&gt;0,'公式'!$T16&gt;0),'公式'!$T16,IF(AND('公式'!$S16&gt;0,'公式'!$R16&gt;0,'公式'!$U16&lt;0,'公式'!$T16&gt;0,'公式'!$AC16&gt;0,'公式'!$AB16&gt;0,'公式'!AD16&gt;0),'公式'!$AD16,0))</f>
        <v>4099.490537374934</v>
      </c>
      <c r="Q38" s="161"/>
      <c r="R38" s="26" t="s">
        <v>85</v>
      </c>
      <c r="S38" s="31"/>
      <c r="T38" s="26"/>
      <c r="U38" s="26"/>
      <c r="V38" s="161">
        <f>IF(AND('公式'!$S16&gt;0,'公式'!$R16&gt;0,'公式'!$U16&gt;0,'公式'!$T16&gt;0),'公式'!$U16,IF(AND('公式'!$S16&gt;0,'公式'!$R16&gt;0,'公式'!$U16&gt;0,'公式'!$T16&lt;0,'公式'!$AH16&gt;0,'公式'!$AG16&gt;0,'公式'!$AI16&gt;0),'公式'!$AI16,0))</f>
        <v>3121.118209197892</v>
      </c>
      <c r="W38" s="161"/>
      <c r="X38" s="26" t="s">
        <v>85</v>
      </c>
      <c r="Y38" s="31"/>
      <c r="AE38" s="35"/>
      <c r="AF38" s="36"/>
      <c r="AG38" s="37"/>
    </row>
    <row r="39" spans="1:34" ht="12.75" customHeight="1">
      <c r="A39" s="33" t="s">
        <v>20</v>
      </c>
      <c r="B39" s="34"/>
      <c r="C39" s="3"/>
      <c r="D39" s="161">
        <f>IF(AND('公式'!$S17&gt;0,'公式'!$R17&gt;0,'公式'!$U17&gt;0,'公式'!$T17&gt;0),'公式'!$R17,IF(AND('公式'!$S17&gt;0,'公式'!$R17&gt;0,'公式'!$U17&lt;0,'公式'!$T17&gt;0,'公式'!$AC17&gt;0,'公式'!$AB17&gt;0,'公式'!AD17&gt;0),'公式'!$AB17,IF('公式'!$AG17&gt;0,'公式'!$AG17,0)))</f>
        <v>5341.898421548978</v>
      </c>
      <c r="E39" s="161"/>
      <c r="F39" s="4" t="s">
        <v>85</v>
      </c>
      <c r="G39" s="3"/>
      <c r="H39" s="28"/>
      <c r="I39" s="3"/>
      <c r="J39" s="161">
        <f>IF(AND('公式'!$S17&gt;0,'公式'!$R17&gt;0,'公式'!$U17&gt;0,'公式'!$T17&gt;0),'公式'!$S17,IF(AND('公式'!$S17&gt;0,'公式'!$R17&gt;0,'公式'!$U17&lt;0,'公式'!$T17&gt;0,'公式'!$AC17&gt;0,'公式'!$AB17&gt;0,'公式'!AD17&gt;0),'公式'!$AC17,IF('公式'!$AH17&gt;0,'公式'!$AH17,0)))</f>
        <v>6091.882590403116</v>
      </c>
      <c r="K39" s="161"/>
      <c r="L39" s="3" t="s">
        <v>85</v>
      </c>
      <c r="M39" s="29"/>
      <c r="N39" s="28"/>
      <c r="O39" s="3"/>
      <c r="P39" s="161">
        <f>IF(AND('公式'!$S17&gt;0,'公式'!$R17&gt;0,'公式'!$U17&gt;0,'公式'!$T17&gt;0),'公式'!$T17,IF(AND('公式'!$S17&gt;0,'公式'!$R17&gt;0,'公式'!$U17&lt;0,'公式'!$T17&gt;0,'公式'!$AC17&gt;0,'公式'!$AB17&gt;0,'公式'!AD17&gt;0),'公式'!$AD17,0))</f>
        <v>3946.7068045742467</v>
      </c>
      <c r="Q39" s="161"/>
      <c r="R39" s="3" t="s">
        <v>85</v>
      </c>
      <c r="S39" s="29"/>
      <c r="T39" s="3"/>
      <c r="U39" s="3"/>
      <c r="V39" s="161">
        <f>IF(AND('公式'!$S17&gt;0,'公式'!$R17&gt;0,'公式'!$U17&gt;0,'公式'!$T17&gt;0),'公式'!$U17,IF(AND('公式'!$S17&gt;0,'公式'!$R17&gt;0,'公式'!$U17&gt;0,'公式'!$T17&lt;0,'公式'!$AH17&gt;0,'公式'!$AG17&gt;0,'公式'!$AI17&gt;0),'公式'!$AI17,0))</f>
        <v>3156.7121834736595</v>
      </c>
      <c r="W39" s="161"/>
      <c r="X39" s="3" t="s">
        <v>85</v>
      </c>
      <c r="Y39" s="29"/>
      <c r="AH39" s="47"/>
    </row>
    <row r="40" spans="1:34" ht="12.75" customHeight="1">
      <c r="A40" s="24" t="s">
        <v>21</v>
      </c>
      <c r="B40" s="25"/>
      <c r="C40" s="26"/>
      <c r="D40" s="161">
        <f>IF(AND('公式'!$S18&gt;0,'公式'!$R18&gt;0,'公式'!$U18&gt;0,'公式'!$T18&gt;0),'公式'!$R18,IF(AND('公式'!$S18&gt;0,'公式'!$R18&gt;0,'公式'!$U18&lt;0,'公式'!$T18&gt;0,'公式'!$AC18&gt;0,'公式'!$AB18&gt;0,'公式'!AD18&gt;0),'公式'!$AB18,IF('公式'!$AG18&gt;0,'公式'!$AG18,0)))</f>
        <v>5492.296930925336</v>
      </c>
      <c r="E40" s="161"/>
      <c r="F40" s="27" t="s">
        <v>85</v>
      </c>
      <c r="G40" s="26"/>
      <c r="H40" s="28"/>
      <c r="I40" s="3"/>
      <c r="J40" s="161">
        <f>IF(AND('公式'!$S18&gt;0,'公式'!$R18&gt;0,'公式'!$U18&gt;0,'公式'!$T18&gt;0),'公式'!$S18,IF(AND('公式'!$S18&gt;0,'公式'!$R18&gt;0,'公式'!$U18&lt;0,'公式'!$T18&gt;0,'公式'!$AC18&gt;0,'公式'!$AB18&gt;0,'公式'!AD18&gt;0),'公式'!$AC18,IF('公式'!$AH18&gt;0,'公式'!$AH18,0)))</f>
        <v>6042.195504678685</v>
      </c>
      <c r="K40" s="161"/>
      <c r="L40" s="3" t="s">
        <v>85</v>
      </c>
      <c r="M40" s="29"/>
      <c r="N40" s="30"/>
      <c r="O40" s="26"/>
      <c r="P40" s="161">
        <f>IF(AND('公式'!$S18&gt;0,'公式'!$R18&gt;0,'公式'!$U18&gt;0,'公式'!$T18&gt;0),'公式'!$T18,IF(AND('公式'!$S18&gt;0,'公式'!$R18&gt;0,'公式'!$U18&lt;0,'公式'!$T18&gt;0,'公式'!$AC18&gt;0,'公式'!$AB18&gt;0,'公式'!AD18&gt;0),'公式'!$AD18,0))</f>
        <v>3797.2388200788237</v>
      </c>
      <c r="Q40" s="161"/>
      <c r="R40" s="26" t="s">
        <v>85</v>
      </c>
      <c r="S40" s="31"/>
      <c r="T40" s="26"/>
      <c r="U40" s="26"/>
      <c r="V40" s="161">
        <f>IF(AND('公式'!$S18&gt;0,'公式'!$R18&gt;0,'公式'!$U18&gt;0,'公式'!$T18&gt;0),'公式'!$U18,IF(AND('公式'!$S18&gt;0,'公式'!$R18&gt;0,'公式'!$U18&gt;0,'公式'!$T18&lt;0,'公式'!$AH18&gt;0,'公式'!$AG18&gt;0,'公式'!$AI18&gt;0),'公式'!$AI18,0))</f>
        <v>3205.468744317156</v>
      </c>
      <c r="W40" s="161"/>
      <c r="X40" s="26" t="s">
        <v>85</v>
      </c>
      <c r="Y40" s="31"/>
      <c r="AH40" s="26"/>
    </row>
    <row r="41" spans="1:34" ht="12.75" customHeight="1">
      <c r="A41" s="33" t="s">
        <v>22</v>
      </c>
      <c r="B41" s="34"/>
      <c r="C41" s="3"/>
      <c r="D41" s="161">
        <f>IF(AND('公式'!$S19&gt;0,'公式'!$R19&gt;0,'公式'!$U19&gt;0,'公式'!$T19&gt;0),'公式'!$R19,IF(AND('公式'!$S19&gt;0,'公式'!$R19&gt;0,'公式'!$U19&lt;0,'公式'!$T19&gt;0,'公式'!$AC19&gt;0,'公式'!$AB19&gt;0,'公式'!AD19&gt;0),'公式'!$AB19,IF('公式'!$AG19&gt;0,'公式'!$AG19,0)))</f>
        <v>5638.082816676688</v>
      </c>
      <c r="E41" s="161"/>
      <c r="F41" s="4" t="s">
        <v>85</v>
      </c>
      <c r="G41" s="3"/>
      <c r="H41" s="28"/>
      <c r="I41" s="3"/>
      <c r="J41" s="161">
        <f>IF(AND('公式'!$S19&gt;0,'公式'!$R19&gt;0,'公式'!$U19&gt;0,'公式'!$T19&gt;0),'公式'!$S19,IF(AND('公式'!$S19&gt;0,'公式'!$R19&gt;0,'公式'!$U19&lt;0,'公式'!$T19&gt;0,'公式'!$AC19&gt;0,'公式'!$AB19&gt;0,'公式'!AD19&gt;0),'公式'!$AC19,IF('公式'!$AH19&gt;0,'公式'!$AH19,0)))</f>
        <v>5979.876232961053</v>
      </c>
      <c r="K41" s="161"/>
      <c r="L41" s="3" t="s">
        <v>85</v>
      </c>
      <c r="M41" s="29"/>
      <c r="N41" s="28"/>
      <c r="O41" s="3"/>
      <c r="P41" s="161">
        <f>IF(AND('公式'!$S19&gt;0,'公式'!$R19&gt;0,'公式'!$U19&gt;0,'公式'!$T19&gt;0),'公式'!$T19,IF(AND('公式'!$S19&gt;0,'公式'!$R19&gt;0,'公式'!$U19&lt;0,'公式'!$T19&gt;0,'公式'!$AC19&gt;0,'公式'!$AB19&gt;0,'公式'!AD19&gt;0),'公式'!$AD19,0))</f>
        <v>3652.2241255019126</v>
      </c>
      <c r="Q41" s="161"/>
      <c r="R41" s="3" t="s">
        <v>85</v>
      </c>
      <c r="S41" s="29"/>
      <c r="T41" s="3"/>
      <c r="U41" s="3"/>
      <c r="V41" s="161">
        <f>IF(AND('公式'!$S19&gt;0,'公式'!$R19&gt;0,'公式'!$U19&gt;0,'公式'!$T19&gt;0),'公式'!$U19,IF(AND('公式'!$S19&gt;0,'公式'!$R19&gt;0,'公式'!$U19&gt;0,'公式'!$T19&lt;0,'公式'!$AH19&gt;0,'公式'!$AG19&gt;0,'公式'!$AI19&gt;0),'公式'!$AI19,0))</f>
        <v>3267.0168248603477</v>
      </c>
      <c r="W41" s="161"/>
      <c r="X41" s="3" t="s">
        <v>85</v>
      </c>
      <c r="Y41" s="29"/>
      <c r="AH41" s="26"/>
    </row>
    <row r="42" spans="1:34" ht="12.75" customHeight="1">
      <c r="A42" s="24" t="s">
        <v>23</v>
      </c>
      <c r="B42" s="25"/>
      <c r="C42" s="26"/>
      <c r="D42" s="161">
        <f>IF(AND('公式'!$S20&gt;0,'公式'!$R20&gt;0,'公式'!$U20&gt;0,'公式'!$T20&gt;0),'公式'!$R20,IF(AND('公式'!$S20&gt;0,'公式'!$R20&gt;0,'公式'!$U20&lt;0,'公式'!$T20&gt;0,'公式'!$AC20&gt;0,'公式'!$AB20&gt;0,'公式'!AD20&gt;0),'公式'!$AB20,IF('公式'!$AG20&gt;0,'公式'!$AG20,0)))</f>
        <v>5778.14656018454</v>
      </c>
      <c r="E42" s="161"/>
      <c r="F42" s="27" t="s">
        <v>85</v>
      </c>
      <c r="G42" s="26"/>
      <c r="H42" s="28"/>
      <c r="I42" s="3"/>
      <c r="J42" s="161">
        <f>IF(AND('公式'!$S20&gt;0,'公式'!$R20&gt;0,'公式'!$U20&gt;0,'公式'!$T20&gt;0),'公式'!$S20,IF(AND('公式'!$S20&gt;0,'公式'!$R20&gt;0,'公式'!$U20&lt;0,'公式'!$T20&gt;0,'公式'!$AC20&gt;0,'公式'!$AB20&gt;0,'公式'!AD20&gt;0),'公式'!$AC20,IF('公式'!$AH20&gt;0,'公式'!$AH20,0)))</f>
        <v>5905.399062537396</v>
      </c>
      <c r="K42" s="161"/>
      <c r="L42" s="3" t="s">
        <v>85</v>
      </c>
      <c r="M42" s="29"/>
      <c r="N42" s="30"/>
      <c r="O42" s="26"/>
      <c r="P42" s="161">
        <f>IF(AND('公式'!$S20&gt;0,'公式'!$R20&gt;0,'公式'!$U20&gt;0,'公式'!$T20&gt;0),'公式'!$T20,IF(AND('公式'!$S20&gt;0,'公式'!$R20&gt;0,'公式'!$U20&lt;0,'公式'!$T20&gt;0,'公式'!$AC20&gt;0,'公式'!$AB20&gt;0,'公式'!AD20&gt;0),'公式'!$AD20,0))</f>
        <v>3512.7663702315117</v>
      </c>
      <c r="Q42" s="161"/>
      <c r="R42" s="26" t="s">
        <v>85</v>
      </c>
      <c r="S42" s="31"/>
      <c r="T42" s="26"/>
      <c r="U42" s="26"/>
      <c r="V42" s="161">
        <f>IF(AND('公式'!$S20&gt;0,'公式'!$R20&gt;0,'公式'!$U20&gt;0,'公式'!$T20&gt;0),'公式'!$U20,IF(AND('公式'!$S20&gt;0,'公式'!$R20&gt;0,'公式'!$U20&gt;0,'公式'!$T20&lt;0,'公式'!$AH20&gt;0,'公式'!$AG20&gt;0,'公式'!$AI20&gt;0),'公式'!$AI20,0))</f>
        <v>3340.8880070465525</v>
      </c>
      <c r="W42" s="161"/>
      <c r="X42" s="26" t="s">
        <v>85</v>
      </c>
      <c r="Y42" s="31"/>
      <c r="AE42" s="26"/>
      <c r="AF42" s="26"/>
      <c r="AG42" s="26"/>
      <c r="AH42" s="26"/>
    </row>
    <row r="43" spans="1:34" ht="12.75" customHeight="1">
      <c r="A43" s="33" t="s">
        <v>24</v>
      </c>
      <c r="B43" s="34"/>
      <c r="C43" s="3"/>
      <c r="D43" s="161">
        <f>IF(AND('公式'!$S21&gt;0,'公式'!$R21&gt;0,'公式'!$U21&gt;0,'公式'!$T21&gt;0),'公式'!$R21,IF(AND('公式'!$S21&gt;0,'公式'!$R21&gt;0,'公式'!$U21&lt;0,'公式'!$T21&gt;0,'公式'!$AC21&gt;0,'公式'!$AB21&gt;0,'公式'!AD21&gt;0),'公式'!$AB21,IF('公式'!$AG21&gt;0,'公式'!$AG21,0)))</f>
        <v>5911.422191788</v>
      </c>
      <c r="E43" s="161"/>
      <c r="F43" s="4" t="s">
        <v>85</v>
      </c>
      <c r="G43" s="3"/>
      <c r="H43" s="28"/>
      <c r="I43" s="3"/>
      <c r="J43" s="161">
        <f>IF(AND('公式'!$S21&gt;0,'公式'!$R21&gt;0,'公式'!$U21&gt;0,'公式'!$T21&gt;0),'公式'!$S21,IF(AND('公式'!$S21&gt;0,'公式'!$R21&gt;0,'公式'!$U21&lt;0,'公式'!$T21&gt;0,'公式'!$AC21&gt;0,'公式'!$AB21&gt;0,'公式'!AD21&gt;0),'公式'!$AC21,IF('公式'!$AH21&gt;0,'公式'!$AH21,0)))</f>
        <v>5819.330809645185</v>
      </c>
      <c r="K43" s="161"/>
      <c r="L43" s="3" t="s">
        <v>85</v>
      </c>
      <c r="M43" s="29"/>
      <c r="N43" s="28"/>
      <c r="O43" s="3"/>
      <c r="P43" s="161">
        <f>IF(AND('公式'!$S21&gt;0,'公式'!$R21&gt;0,'公式'!$U21&gt;0,'公式'!$T21&gt;0),'公式'!$T21,IF(AND('公式'!$S21&gt;0,'公式'!$R21&gt;0,'公式'!$U21&lt;0,'公式'!$T21&gt;0,'公式'!$AC21&gt;0,'公式'!$AB21&gt;0,'公式'!AD21&gt;0),'公式'!$AD21,0))</f>
        <v>3379.9269119921223</v>
      </c>
      <c r="Q43" s="161"/>
      <c r="R43" s="3" t="s">
        <v>85</v>
      </c>
      <c r="S43" s="29"/>
      <c r="T43" s="3"/>
      <c r="U43" s="3"/>
      <c r="V43" s="161">
        <f>IF(AND('公式'!$S21&gt;0,'公式'!$R21&gt;0,'公式'!$U21&gt;0,'公式'!$T21&gt;0),'公式'!$U21,IF(AND('公式'!$S21&gt;0,'公式'!$R21&gt;0,'公式'!$U21&gt;0,'公式'!$T21&lt;0,'公式'!$AH21&gt;0,'公式'!$AG21&gt;0,'公式'!$AI21&gt;0),'公式'!$AI21,0))</f>
        <v>3426.5200865746933</v>
      </c>
      <c r="W43" s="161"/>
      <c r="X43" s="3" t="s">
        <v>85</v>
      </c>
      <c r="Y43" s="29"/>
      <c r="AE43" s="26"/>
      <c r="AF43" s="26"/>
      <c r="AG43" s="47"/>
      <c r="AH43" s="26"/>
    </row>
    <row r="44" spans="1:34" ht="12.75" customHeight="1">
      <c r="A44" s="24" t="s">
        <v>25</v>
      </c>
      <c r="B44" s="25"/>
      <c r="C44" s="26"/>
      <c r="D44" s="161">
        <f>IF(AND('公式'!$S22&gt;0,'公式'!$R22&gt;0,'公式'!$U22&gt;0,'公式'!$T22&gt;0),'公式'!$R22,IF(AND('公式'!$S22&gt;0,'公式'!$R22&gt;0,'公式'!$U22&lt;0,'公式'!$T22&gt;0,'公式'!$AC22&gt;0,'公式'!$AB22&gt;0,'公式'!AD22&gt;0),'公式'!$AB22,IF('公式'!$AG22&gt;0,'公式'!$AG22,0)))</f>
        <v>6036.895403456538</v>
      </c>
      <c r="E44" s="161"/>
      <c r="F44" s="27" t="s">
        <v>85</v>
      </c>
      <c r="G44" s="26"/>
      <c r="H44" s="28"/>
      <c r="I44" s="3"/>
      <c r="J44" s="161">
        <f>IF(AND('公式'!$S22&gt;0,'公式'!$R22&gt;0,'公式'!$U22&gt;0,'公式'!$T22&gt;0),'公式'!$S22,IF(AND('公式'!$S22&gt;0,'公式'!$R22&gt;0,'公式'!$U22&lt;0,'公式'!$T22&gt;0,'公式'!$AC22&gt;0,'公式'!$AB22&gt;0,'公式'!AD22&gt;0),'公式'!$AC22,IF('公式'!$AH22&gt;0,'公式'!$AH22,0)))</f>
        <v>5722.326505658359</v>
      </c>
      <c r="K44" s="161"/>
      <c r="L44" s="3" t="s">
        <v>85</v>
      </c>
      <c r="M44" s="29"/>
      <c r="N44" s="30"/>
      <c r="O44" s="26"/>
      <c r="P44" s="161">
        <f>IF(AND('公式'!$S22&gt;0,'公式'!$R22&gt;0,'公式'!$U22&gt;0,'公式'!$T22&gt;0),'公式'!$T22,IF(AND('公式'!$S22&gt;0,'公式'!$R22&gt;0,'公式'!$U22&lt;0,'公式'!$T22&gt;0,'公式'!$AC22&gt;0,'公式'!$AB22&gt;0,'公式'!AD22&gt;0),'公式'!$AD22,0))</f>
        <v>3254.7167392716037</v>
      </c>
      <c r="Q44" s="161"/>
      <c r="R44" s="26" t="s">
        <v>85</v>
      </c>
      <c r="S44" s="31"/>
      <c r="T44" s="26"/>
      <c r="U44" s="26"/>
      <c r="V44" s="161">
        <f>IF(AND('公式'!$S22&gt;0,'公式'!$R22&gt;0,'公式'!$U22&gt;0,'公式'!$T22&gt;0),'公式'!$U22,IF(AND('公式'!$S22&gt;0,'公式'!$R22&gt;0,'公式'!$U22&gt;0,'公式'!$T22&lt;0,'公式'!$AH22&gt;0,'公式'!$AG22&gt;0,'公式'!$AI22&gt;0),'公式'!$AI22,0))</f>
        <v>3523.261351613501</v>
      </c>
      <c r="W44" s="161"/>
      <c r="X44" s="26" t="s">
        <v>85</v>
      </c>
      <c r="Y44" s="31"/>
      <c r="AD44" s="48"/>
      <c r="AE44" s="26"/>
      <c r="AF44" s="26"/>
      <c r="AG44" s="26"/>
      <c r="AH44" s="26"/>
    </row>
    <row r="45" spans="1:34" ht="12.75" customHeight="1">
      <c r="A45" s="38" t="s">
        <v>26</v>
      </c>
      <c r="B45" s="39"/>
      <c r="C45" s="40"/>
      <c r="D45" s="162">
        <f>IF(AND('公式'!$S23&gt;0,'公式'!$R23&gt;0,'公式'!$U23&gt;0,'公式'!$T23&gt;0),'公式'!$R23,IF(AND('公式'!$S23&gt;0,'公式'!$R23&gt;0,'公式'!$U23&lt;0,'公式'!$T23&gt;0,'公式'!$AC23&gt;0,'公式'!$AB23&gt;0,'公式'!AD23&gt;0),'公式'!$AB23,IF('公式'!$AG23&gt;0,'公式'!$AG23,0)))</f>
        <v>6153.611268286557</v>
      </c>
      <c r="E45" s="162"/>
      <c r="F45" s="41" t="s">
        <v>85</v>
      </c>
      <c r="G45" s="40"/>
      <c r="H45" s="42"/>
      <c r="I45" s="40"/>
      <c r="J45" s="162">
        <f>IF(AND('公式'!$S23&gt;0,'公式'!$R23&gt;0,'公式'!$U23&gt;0,'公式'!$T23&gt;0),'公式'!$S23,IF(AND('公式'!$S23&gt;0,'公式'!$R23&gt;0,'公式'!$U23&lt;0,'公式'!$T23&gt;0,'公式'!$AC23&gt;0,'公式'!$AB23&gt;0,'公式'!AD23&gt;0),'公式'!$AC23,IF('公式'!$AH23&gt;0,'公式'!$AH23,0)))</f>
        <v>5615.12441190306</v>
      </c>
      <c r="K45" s="162"/>
      <c r="L45" s="40" t="s">
        <v>85</v>
      </c>
      <c r="M45" s="43"/>
      <c r="N45" s="42"/>
      <c r="O45" s="40"/>
      <c r="P45" s="162">
        <f>IF(AND('公式'!$S23&gt;0,'公式'!$R23&gt;0,'公式'!$U23&gt;0,'公式'!$T23&gt;0),'公式'!$T23,IF(AND('公式'!$S23&gt;0,'公式'!$R23&gt;0,'公式'!$U23&lt;0,'公式'!$T23&gt;0,'公式'!$AC23&gt;0,'公式'!$AB23&gt;0,'公式'!AD23&gt;0),'公式'!$AD23,0))</f>
        <v>3138.0887770883296</v>
      </c>
      <c r="Q45" s="162"/>
      <c r="R45" s="40" t="s">
        <v>85</v>
      </c>
      <c r="S45" s="43"/>
      <c r="T45" s="40"/>
      <c r="U45" s="40"/>
      <c r="V45" s="188">
        <f>IF(AND('公式'!$S23&gt;0,'公式'!$R23&gt;0,'公式'!$U23&gt;0,'公式'!$T23&gt;0),'公式'!$U23,IF(AND('公式'!$S23&gt;0,'公式'!$R23&gt;0,'公式'!$U23&gt;0,'公式'!$T23&lt;0,'公式'!$AH23&gt;0,'公式'!$AG23&gt;0,'公式'!$AI23&gt;0),'公式'!$AI23,0))</f>
        <v>3630.375542722055</v>
      </c>
      <c r="W45" s="188"/>
      <c r="X45" s="40" t="s">
        <v>85</v>
      </c>
      <c r="Y45" s="43"/>
      <c r="AE45" s="26"/>
      <c r="AF45" s="26"/>
      <c r="AG45" s="26"/>
      <c r="AH45" s="26"/>
    </row>
    <row r="46" spans="1:34" ht="12.75" customHeight="1">
      <c r="A46" s="24" t="s">
        <v>27</v>
      </c>
      <c r="B46" s="25"/>
      <c r="C46" s="26"/>
      <c r="D46" s="185">
        <f>IF(AND('公式'!$S24&gt;0,'公式'!$R24&gt;0,'公式'!$U24&gt;0,'公式'!$T24&gt;0),'公式'!$R24,IF(AND('公式'!$S24&gt;0,'公式'!$R24&gt;0,'公式'!$U24&lt;0,'公式'!$T24&gt;0,'公式'!$AC24&gt;0,'公式'!$AB24&gt;0,'公式'!AD24&gt;0),'公式'!$AB24,IF('公式'!$AG24&gt;0,'公式'!$AG24,0)))</f>
        <v>6260.681508071739</v>
      </c>
      <c r="E46" s="185"/>
      <c r="F46" s="27" t="s">
        <v>85</v>
      </c>
      <c r="G46" s="26"/>
      <c r="H46" s="44"/>
      <c r="I46" s="45"/>
      <c r="J46" s="164">
        <f>IF(AND('公式'!$S24&gt;0,'公式'!$R24&gt;0,'公式'!$U24&gt;0,'公式'!$T24&gt;0),'公式'!$S24,IF(AND('公式'!$S24&gt;0,'公式'!$R24&gt;0,'公式'!$U24&lt;0,'公式'!$T24&gt;0,'公式'!$AC24&gt;0,'公式'!$AB24&gt;0,'公式'!AD24&gt;0),'公式'!$AC24,IF('公式'!$AH24&gt;0,'公式'!$AH24,0)))</f>
        <v>5498.5404010431575</v>
      </c>
      <c r="K46" s="164"/>
      <c r="L46" s="45" t="s">
        <v>85</v>
      </c>
      <c r="M46" s="46"/>
      <c r="N46" s="30"/>
      <c r="O46" s="26"/>
      <c r="P46" s="185">
        <f>IF(AND('公式'!$S24&gt;0,'公式'!$R24&gt;0,'公式'!$U24&gt;0,'公式'!$T24&gt;0),'公式'!$T24,IF(AND('公式'!$S24&gt;0,'公式'!$R24&gt;0,'公式'!$U24&lt;0,'公式'!$T24&gt;0,'公式'!$AC24&gt;0,'公式'!$AB24&gt;0,'公式'!AD24&gt;0),'公式'!$AD24,0))</f>
        <v>3030.9306346564026</v>
      </c>
      <c r="Q46" s="185"/>
      <c r="R46" s="26" t="s">
        <v>85</v>
      </c>
      <c r="S46" s="31"/>
      <c r="T46" s="26"/>
      <c r="U46" s="26"/>
      <c r="V46" s="187">
        <f>IF(AND('公式'!$S24&gt;0,'公式'!$R24&gt;0,'公式'!$U24&gt;0,'公式'!$T24&gt;0),'公式'!$U24,IF(AND('公式'!$S24&gt;0,'公式'!$R24&gt;0,'公式'!$U24&gt;0,'公式'!$T24&lt;0,'公式'!$AH24&gt;0,'公式'!$AG24&gt;0,'公式'!$AI24&gt;0),'公式'!$AI24,0))</f>
        <v>3747.0474562287022</v>
      </c>
      <c r="W46" s="187"/>
      <c r="X46" s="26" t="s">
        <v>85</v>
      </c>
      <c r="Y46" s="31"/>
      <c r="AE46" s="26"/>
      <c r="AF46" s="26"/>
      <c r="AG46" s="26"/>
      <c r="AH46" s="26"/>
    </row>
    <row r="47" spans="1:34" ht="12.75" customHeight="1">
      <c r="A47" s="33" t="s">
        <v>28</v>
      </c>
      <c r="B47" s="34"/>
      <c r="C47" s="3"/>
      <c r="D47" s="161">
        <f>IF(AND('公式'!$S25&gt;0,'公式'!$R25&gt;0,'公式'!$U25&gt;0,'公式'!$T25&gt;0),'公式'!$R25,IF(AND('公式'!$S25&gt;0,'公式'!$R25&gt;0,'公式'!$U25&lt;0,'公式'!$T25&gt;0,'公式'!$AC25&gt;0,'公式'!$AB25&gt;0,'公式'!AD25&gt;0),'公式'!$AB25,IF('公式'!$AG25&gt;0,'公式'!$AG25,0)))</f>
        <v>6357.291253636535</v>
      </c>
      <c r="E47" s="161"/>
      <c r="F47" s="4" t="s">
        <v>85</v>
      </c>
      <c r="G47" s="3"/>
      <c r="H47" s="28"/>
      <c r="I47" s="3"/>
      <c r="J47" s="161">
        <f>IF(AND('公式'!$S25&gt;0,'公式'!$R25&gt;0,'公式'!$U25&gt;0,'公式'!$T25&gt;0),'公式'!$S25,IF(AND('公式'!$S25&gt;0,'公式'!$R25&gt;0,'公式'!$U25&lt;0,'公式'!$T25&gt;0,'公式'!$AC25&gt;0,'公式'!$AB25&gt;0,'公式'!AD25&gt;0),'公式'!$AC25,IF('公式'!$AH25&gt;0,'公式'!$AH25,0)))</f>
        <v>5373.46174779665</v>
      </c>
      <c r="K47" s="161"/>
      <c r="L47" s="3" t="s">
        <v>85</v>
      </c>
      <c r="M47" s="29"/>
      <c r="N47" s="28"/>
      <c r="O47" s="3"/>
      <c r="P47" s="161">
        <f>IF(AND('公式'!$S25&gt;0,'公式'!$R25&gt;0,'公式'!$U25&gt;0,'公式'!$T25&gt;0),'公式'!$T25,IF(AND('公式'!$S25&gt;0,'公式'!$R25&gt;0,'公式'!$U25&lt;0,'公式'!$T25&gt;0,'公式'!$AC25&gt;0,'公式'!$AB25&gt;0,'公式'!AD25&gt;0),'公式'!$AD25,0))</f>
        <v>2934.057850143588</v>
      </c>
      <c r="Q47" s="161"/>
      <c r="R47" s="3" t="s">
        <v>85</v>
      </c>
      <c r="S47" s="29"/>
      <c r="T47" s="3"/>
      <c r="U47" s="3"/>
      <c r="V47" s="161">
        <f>IF(AND('公式'!$S25&gt;0,'公式'!$R25&gt;0,'公式'!$U25&gt;0,'公式'!$T25&gt;0),'公式'!$U25,IF(AND('公式'!$S25&gt;0,'公式'!$R25&gt;0,'公式'!$U25&gt;0,'公式'!$T25&lt;0,'公式'!$AH25&gt;0,'公式'!$AG25&gt;0,'公式'!$AI25&gt;0),'公式'!$AI25,0))</f>
        <v>3872.3891484232277</v>
      </c>
      <c r="W47" s="161"/>
      <c r="X47" s="3" t="s">
        <v>85</v>
      </c>
      <c r="Y47" s="29"/>
      <c r="AE47" s="26"/>
      <c r="AF47" s="26"/>
      <c r="AG47" s="26"/>
      <c r="AH47" s="26"/>
    </row>
    <row r="48" spans="1:34" ht="12.75" customHeight="1">
      <c r="A48" s="24" t="s">
        <v>29</v>
      </c>
      <c r="B48" s="25"/>
      <c r="C48" s="26"/>
      <c r="D48" s="161">
        <f>IF(AND('公式'!$S26&gt;0,'公式'!$R26&gt;0,'公式'!$U26&gt;0,'公式'!$T26&gt;0),'公式'!$R26,IF(AND('公式'!$S26&gt;0,'公式'!$R26&gt;0,'公式'!$U26&lt;0,'公式'!$T26&gt;0,'公式'!$AC26&gt;0,'公式'!$AB26&gt;0,'公式'!AD26&gt;0),'公式'!$AB26,IF('公式'!$AG26&gt;0,'公式'!$AG26,0)))</f>
        <v>6442.705246482642</v>
      </c>
      <c r="E48" s="161"/>
      <c r="F48" s="27" t="s">
        <v>85</v>
      </c>
      <c r="G48" s="26"/>
      <c r="H48" s="28"/>
      <c r="I48" s="3"/>
      <c r="J48" s="161">
        <f>IF(AND('公式'!$S26&gt;0,'公式'!$R26&gt;0,'公式'!$U26&gt;0,'公式'!$T26&gt;0),'公式'!$S26,IF(AND('公式'!$S26&gt;0,'公式'!$R26&gt;0,'公式'!$U26&lt;0,'公式'!$T26&gt;0,'公式'!$AC26&gt;0,'公式'!$AB26&gt;0,'公式'!AD26&gt;0),'公式'!$AC26,IF('公式'!$AH26&gt;0,'公式'!$AH26,0)))</f>
        <v>5240.840376239295</v>
      </c>
      <c r="K48" s="161"/>
      <c r="L48" s="3" t="s">
        <v>85</v>
      </c>
      <c r="M48" s="29"/>
      <c r="N48" s="30"/>
      <c r="O48" s="26"/>
      <c r="P48" s="161">
        <f>IF(AND('公式'!$S26&gt;0,'公式'!$R26&gt;0,'公式'!$U26&gt;0,'公式'!$T26&gt;0),'公式'!$T26,IF(AND('公式'!$S26&gt;0,'公式'!$R26&gt;0,'公式'!$U26&lt;0,'公式'!$T26&gt;0,'公式'!$AC26&gt;0,'公式'!$AB26&gt;0,'公式'!AD26&gt;0),'公式'!$AD26,0))</f>
        <v>2848.20768393341</v>
      </c>
      <c r="Q48" s="161"/>
      <c r="R48" s="26" t="s">
        <v>85</v>
      </c>
      <c r="S48" s="31"/>
      <c r="T48" s="26"/>
      <c r="U48" s="26"/>
      <c r="V48" s="161">
        <f>IF(AND('公式'!$S26&gt;0,'公式'!$R26&gt;0,'公式'!$U26&gt;0,'公式'!$T26&gt;0),'公式'!$U26,IF(AND('公式'!$S26&gt;0,'公式'!$R26&gt;0,'公式'!$U26&gt;0,'公式'!$T26&lt;0,'公式'!$AH26&gt;0,'公式'!$AG26&gt;0,'公式'!$AI26&gt;0),'公式'!$AI26,0))</f>
        <v>4005.4466933446542</v>
      </c>
      <c r="W48" s="161"/>
      <c r="X48" s="26" t="s">
        <v>85</v>
      </c>
      <c r="Y48" s="31"/>
      <c r="AE48" s="26"/>
      <c r="AF48" s="26"/>
      <c r="AG48" s="26"/>
      <c r="AH48" s="26"/>
    </row>
    <row r="49" spans="1:34" ht="12.75" customHeight="1">
      <c r="A49" s="33" t="s">
        <v>30</v>
      </c>
      <c r="B49" s="34"/>
      <c r="C49" s="3"/>
      <c r="D49" s="161">
        <f>IF(AND('公式'!$S27&gt;0,'公式'!$R27&gt;0,'公式'!$U27&gt;0,'公式'!$T27&gt;0),'公式'!$R27,IF(AND('公式'!$S27&gt;0,'公式'!$R27&gt;0,'公式'!$U27&lt;0,'公式'!$T27&gt;0,'公式'!$AC27&gt;0,'公式'!$AB27&gt;0,'公式'!AD27&gt;0),'公式'!$AB27,IF('公式'!$AG27&gt;0,'公式'!$AG27,0)))</f>
        <v>6516.273434550121</v>
      </c>
      <c r="E49" s="161"/>
      <c r="F49" s="4" t="s">
        <v>85</v>
      </c>
      <c r="G49" s="3"/>
      <c r="H49" s="28"/>
      <c r="I49" s="3"/>
      <c r="J49" s="161">
        <f>IF(AND('公式'!$S27&gt;0,'公式'!$R27&gt;0,'公式'!$U27&gt;0,'公式'!$T27&gt;0),'公式'!$S27,IF(AND('公式'!$S27&gt;0,'公式'!$R27&gt;0,'公式'!$U27&lt;0,'公式'!$T27&gt;0,'公式'!$AC27&gt;0,'公式'!$AB27&gt;0,'公式'!AD27&gt;0),'公式'!$AC27,IF('公式'!$AH27&gt;0,'公式'!$AH27,0)))</f>
        <v>5101.685615087619</v>
      </c>
      <c r="K49" s="161"/>
      <c r="L49" s="3" t="s">
        <v>85</v>
      </c>
      <c r="M49" s="29"/>
      <c r="N49" s="28"/>
      <c r="O49" s="3"/>
      <c r="P49" s="161">
        <f>IF(AND('公式'!$S27&gt;0,'公式'!$R27&gt;0,'公式'!$U27&gt;0,'公式'!$T27&gt;0),'公式'!$T27,IF(AND('公式'!$S27&gt;0,'公式'!$R27&gt;0,'公式'!$U27&lt;0,'公式'!$T27&gt;0,'公式'!$AC27&gt;0,'公式'!$AB27&gt;0,'公式'!AD27&gt;0),'公式'!$AD27,0))</f>
        <v>2774.03350762848</v>
      </c>
      <c r="Q49" s="161"/>
      <c r="R49" s="3" t="s">
        <v>85</v>
      </c>
      <c r="S49" s="29"/>
      <c r="T49" s="3"/>
      <c r="U49" s="3"/>
      <c r="V49" s="161">
        <f>IF(AND('公式'!$S27&gt;0,'公式'!$R27&gt;0,'公式'!$U27&gt;0,'公式'!$T27&gt;0),'公式'!$U27,IF(AND('公式'!$S27&gt;0,'公式'!$R27&gt;0,'公式'!$U27&gt;0,'公式'!$T27&lt;0,'公式'!$AH27&gt;0,'公式'!$AG27&gt;0,'公式'!$AI27&gt;0),'公式'!$AI27,0))</f>
        <v>4145.207442733781</v>
      </c>
      <c r="W49" s="161"/>
      <c r="X49" s="3" t="s">
        <v>85</v>
      </c>
      <c r="Y49" s="29"/>
      <c r="AE49" s="26"/>
      <c r="AF49" s="26"/>
      <c r="AG49" s="26"/>
      <c r="AH49" s="26"/>
    </row>
    <row r="50" spans="1:34" ht="12.75" customHeight="1">
      <c r="A50" s="24" t="s">
        <v>31</v>
      </c>
      <c r="B50" s="25"/>
      <c r="C50" s="26"/>
      <c r="D50" s="161">
        <f>IF(AND('公式'!$S28&gt;0,'公式'!$R28&gt;0,'公式'!$U28&gt;0,'公式'!$T28&gt;0),'公式'!$R28,IF(AND('公式'!$S28&gt;0,'公式'!$R28&gt;0,'公式'!$U28&lt;0,'公式'!$T28&gt;0,'公式'!$AC28&gt;0,'公式'!$AB28&gt;0,'公式'!AD28&gt;0),'公式'!$AB28,IF('公式'!$AG28&gt;0,'公式'!$AG28,0)))</f>
        <v>6577.435919506091</v>
      </c>
      <c r="E50" s="161"/>
      <c r="F50" s="27" t="s">
        <v>85</v>
      </c>
      <c r="G50" s="26"/>
      <c r="H50" s="28"/>
      <c r="I50" s="3"/>
      <c r="J50" s="161">
        <f>IF(AND('公式'!$S28&gt;0,'公式'!$R28&gt;0,'公式'!$U28&gt;0,'公式'!$T28&gt;0),'公式'!$S28,IF(AND('公式'!$S28&gt;0,'公式'!$R28&gt;0,'公式'!$U28&lt;0,'公式'!$T28&gt;0,'公式'!$AC28&gt;0,'公式'!$AB28&gt;0,'公式'!AD28&gt;0),'公式'!$AC28,IF('公式'!$AH28&gt;0,'公式'!$AH28,0)))</f>
        <v>4957.0565160979295</v>
      </c>
      <c r="K50" s="161"/>
      <c r="L50" s="3" t="s">
        <v>85</v>
      </c>
      <c r="M50" s="29"/>
      <c r="N50" s="30"/>
      <c r="O50" s="26"/>
      <c r="P50" s="161">
        <f>IF(AND('公式'!$S28&gt;0,'公式'!$R28&gt;0,'公式'!$U28&gt;0,'公式'!$T28&gt;0),'公式'!$T28,IF(AND('公式'!$S28&gt;0,'公式'!$R28&gt;0,'公式'!$U28&lt;0,'公式'!$T28&gt;0,'公式'!$AC28&gt;0,'公式'!$AB28&gt;0,'公式'!AD28&gt;0),'公式'!$AD28,0))</f>
        <v>2712.099831498069</v>
      </c>
      <c r="Q50" s="161"/>
      <c r="R50" s="26" t="s">
        <v>85</v>
      </c>
      <c r="S50" s="31"/>
      <c r="T50" s="26"/>
      <c r="U50" s="26"/>
      <c r="V50" s="161">
        <f>IF(AND('公式'!$S28&gt;0,'公式'!$R28&gt;0,'公式'!$U28&gt;0,'公式'!$T28&gt;0),'公式'!$U28,IF(AND('公式'!$S28&gt;0,'公式'!$R28&gt;0,'公式'!$U28&gt;0,'公式'!$T28&lt;0,'公式'!$AH28&gt;0,'公式'!$AG28&gt;0,'公式'!$AI28&gt;0),'公式'!$AI28,0))</f>
        <v>4290.607732897911</v>
      </c>
      <c r="W50" s="161"/>
      <c r="X50" s="26" t="s">
        <v>85</v>
      </c>
      <c r="Y50" s="31"/>
      <c r="AE50" s="26"/>
      <c r="AF50" s="26"/>
      <c r="AG50" s="26"/>
      <c r="AH50" s="26"/>
    </row>
    <row r="51" spans="1:34" ht="12.75" customHeight="1">
      <c r="A51" s="33" t="s">
        <v>32</v>
      </c>
      <c r="B51" s="34"/>
      <c r="C51" s="3"/>
      <c r="D51" s="161">
        <f>IF(AND('公式'!$S29&gt;0,'公式'!$R29&gt;0,'公式'!$U29&gt;0,'公式'!$T29&gt;0),'公式'!$R29,IF(AND('公式'!$S29&gt;0,'公式'!$R29&gt;0,'公式'!$U29&lt;0,'公式'!$T29&gt;0,'公式'!$AC29&gt;0,'公式'!$AB29&gt;0,'公式'!AD29&gt;0),'公式'!$AB29,IF('公式'!$AG29&gt;0,'公式'!$AG29,0)))</f>
        <v>6625.727217909121</v>
      </c>
      <c r="E51" s="161"/>
      <c r="F51" s="4" t="s">
        <v>85</v>
      </c>
      <c r="G51" s="3"/>
      <c r="H51" s="28"/>
      <c r="I51" s="3"/>
      <c r="J51" s="161">
        <f>IF(AND('公式'!$S29&gt;0,'公式'!$R29&gt;0,'公式'!$U29&gt;0,'公式'!$T29&gt;0),'公式'!$S29,IF(AND('公式'!$S29&gt;0,'公式'!$R29&gt;0,'公式'!$U29&lt;0,'公式'!$T29&gt;0,'公式'!$AC29&gt;0,'公式'!$AB29&gt;0,'公式'!AD29&gt;0),'公式'!$AC29,IF('公式'!$AH29&gt;0,'公式'!$AH29,0)))</f>
        <v>4808.053794042974</v>
      </c>
      <c r="K51" s="161"/>
      <c r="L51" s="3" t="s">
        <v>85</v>
      </c>
      <c r="M51" s="29"/>
      <c r="N51" s="28"/>
      <c r="O51" s="3"/>
      <c r="P51" s="161">
        <f>IF(AND('公式'!$S29&gt;0,'公式'!$R29&gt;0,'公式'!$U29&gt;0,'公式'!$T29&gt;0),'公式'!$T29,IF(AND('公式'!$S29&gt;0,'公式'!$R29&gt;0,'公式'!$U29&lt;0,'公式'!$T29&gt;0,'公式'!$AC29&gt;0,'公式'!$AB29&gt;0,'公式'!AD29&gt;0),'公式'!$AD29,0))</f>
        <v>2662.8780082141043</v>
      </c>
      <c r="Q51" s="161"/>
      <c r="R51" s="3" t="s">
        <v>85</v>
      </c>
      <c r="S51" s="29"/>
      <c r="T51" s="3"/>
      <c r="U51" s="3"/>
      <c r="V51" s="161">
        <f>IF(AND('公式'!$S29&gt;0,'公式'!$R29&gt;0,'公式'!$U29&gt;0,'公式'!$T29&gt;0),'公式'!$U29,IF(AND('公式'!$S29&gt;0,'公式'!$R29&gt;0,'公式'!$U29&gt;0,'公式'!$T29&lt;0,'公式'!$AH29&gt;0,'公式'!$AG29&gt;0,'公式'!$AI29&gt;0),'公式'!$AI29,0))</f>
        <v>4440.540979833801</v>
      </c>
      <c r="W51" s="161"/>
      <c r="X51" s="3" t="s">
        <v>85</v>
      </c>
      <c r="Y51" s="29"/>
      <c r="AE51" s="26"/>
      <c r="AF51" s="26"/>
      <c r="AG51" s="26"/>
      <c r="AH51" s="26"/>
    </row>
    <row r="52" spans="1:34" ht="12.75" customHeight="1">
      <c r="A52" s="24" t="s">
        <v>33</v>
      </c>
      <c r="B52" s="25"/>
      <c r="C52" s="26"/>
      <c r="D52" s="161">
        <f>IF(AND('公式'!$S30&gt;0,'公式'!$R30&gt;0,'公式'!$U30&gt;0,'公式'!$T30&gt;0),'公式'!$R30,IF(AND('公式'!$S30&gt;0,'公式'!$R30&gt;0,'公式'!$U30&lt;0,'公式'!$T30&gt;0,'公式'!$AC30&gt;0,'公式'!$AB30&gt;0,'公式'!AD30&gt;0),'公式'!$AB30,IF('公式'!$AG30&gt;0,'公式'!$AG30,0)))</f>
        <v>6660.779803819279</v>
      </c>
      <c r="E52" s="161"/>
      <c r="F52" s="27" t="s">
        <v>85</v>
      </c>
      <c r="G52" s="26"/>
      <c r="H52" s="28"/>
      <c r="I52" s="3"/>
      <c r="J52" s="161">
        <f>IF(AND('公式'!$S30&gt;0,'公式'!$R30&gt;0,'公式'!$U30&gt;0,'公式'!$T30&gt;0),'公式'!$S30,IF(AND('公式'!$S30&gt;0,'公式'!$R30&gt;0,'公式'!$U30&lt;0,'公式'!$T30&gt;0,'公式'!$AC30&gt;0,'公式'!$AB30&gt;0,'公式'!AD30&gt;0),'公式'!$AC30,IF('公式'!$AH30&gt;0,'公式'!$AH30,0)))</f>
        <v>4655.811449607895</v>
      </c>
      <c r="K52" s="161"/>
      <c r="L52" s="3" t="s">
        <v>85</v>
      </c>
      <c r="M52" s="29"/>
      <c r="N52" s="30"/>
      <c r="O52" s="26"/>
      <c r="P52" s="161">
        <f>IF(AND('公式'!$S30&gt;0,'公式'!$R30&gt;0,'公式'!$U30&gt;0,'公式'!$T30&gt;0),'公式'!$T30,IF(AND('公式'!$S30&gt;0,'公式'!$R30&gt;0,'公式'!$U30&lt;0,'公式'!$T30&gt;0,'公式'!$AC30&gt;0,'公式'!$AB30&gt;0,'公式'!AD30&gt;0),'公式'!$AD30,0))</f>
        <v>2626.742645572728</v>
      </c>
      <c r="Q52" s="161"/>
      <c r="R52" s="26" t="s">
        <v>85</v>
      </c>
      <c r="S52" s="31"/>
      <c r="T52" s="26"/>
      <c r="U52" s="26"/>
      <c r="V52" s="161">
        <f>IF(AND('公式'!$S30&gt;0,'公式'!$R30&gt;0,'公式'!$U30&gt;0,'公式'!$T30&gt;0),'公式'!$U30,IF(AND('公式'!$S30&gt;0,'公式'!$R30&gt;0,'公式'!$U30&gt;0,'公式'!$T30&lt;0,'公式'!$AH30&gt;0,'公式'!$AG30&gt;0,'公式'!$AI30&gt;0),'公式'!$AI30,0))</f>
        <v>4593.866101000099</v>
      </c>
      <c r="W52" s="161"/>
      <c r="X52" s="26" t="s">
        <v>85</v>
      </c>
      <c r="Y52" s="31"/>
      <c r="AE52" s="26"/>
      <c r="AF52" s="26"/>
      <c r="AG52" s="26"/>
      <c r="AH52" s="26"/>
    </row>
    <row r="53" spans="1:34" ht="12.75" customHeight="1">
      <c r="A53" s="33" t="s">
        <v>34</v>
      </c>
      <c r="B53" s="34"/>
      <c r="C53" s="3"/>
      <c r="D53" s="161">
        <f>IF(AND('公式'!$S31&gt;0,'公式'!$R31&gt;0,'公式'!$U31&gt;0,'公式'!$T31&gt;0),'公式'!$R31,IF(AND('公式'!$S31&gt;0,'公式'!$R31&gt;0,'公式'!$U31&lt;0,'公式'!$T31&gt;0,'公式'!$AC31&gt;0,'公式'!$AB31&gt;0,'公式'!AD31&gt;0),'公式'!$AB31,IF('公式'!$AG31&gt;0,'公式'!$AG31,0)))</f>
        <v>6682.32690589246</v>
      </c>
      <c r="E53" s="161"/>
      <c r="F53" s="4" t="s">
        <v>85</v>
      </c>
      <c r="G53" s="3"/>
      <c r="H53" s="28"/>
      <c r="I53" s="3"/>
      <c r="J53" s="161">
        <f>IF(AND('公式'!$S31&gt;0,'公式'!$R31&gt;0,'公式'!$U31&gt;0,'公式'!$T31&gt;0),'公式'!$S31,IF(AND('公式'!$S31&gt;0,'公式'!$R31&gt;0,'公式'!$U31&lt;0,'公式'!$T31&gt;0,'公式'!$AC31&gt;0,'公式'!$AB31&gt;0,'公式'!AD31&gt;0),'公式'!$AC31,IF('公式'!$AH31&gt;0,'公式'!$AH31,0)))</f>
        <v>4501.488138960283</v>
      </c>
      <c r="K53" s="161"/>
      <c r="L53" s="3" t="s">
        <v>85</v>
      </c>
      <c r="M53" s="29"/>
      <c r="N53" s="28"/>
      <c r="O53" s="3"/>
      <c r="P53" s="161">
        <f>IF(AND('公式'!$S31&gt;0,'公式'!$R31&gt;0,'公式'!$U31&gt;0,'公式'!$T31&gt;0),'公式'!$T31,IF(AND('公式'!$S31&gt;0,'公式'!$R31&gt;0,'公式'!$U31&lt;0,'公式'!$T31&gt;0,'公式'!$AC31&gt;0,'公式'!$AB31&gt;0,'公式'!AD31&gt;0),'公式'!$AD31,0))</f>
        <v>2603.9687555027695</v>
      </c>
      <c r="Q53" s="161"/>
      <c r="R53" s="3" t="s">
        <v>85</v>
      </c>
      <c r="S53" s="29"/>
      <c r="T53" s="3"/>
      <c r="U53" s="3"/>
      <c r="V53" s="161">
        <f>IF(AND('公式'!$S31&gt;0,'公式'!$R31&gt;0,'公式'!$U31&gt;0,'公式'!$T31&gt;0),'公式'!$U31,IF(AND('公式'!$S31&gt;0,'公式'!$R31&gt;0,'公式'!$U31&gt;0,'公式'!$T31&lt;0,'公式'!$AH31&gt;0,'公式'!$AG31&gt;0,'公式'!$AI31&gt;0),'公式'!$AI31,0))</f>
        <v>4749.416199644489</v>
      </c>
      <c r="W53" s="161"/>
      <c r="X53" s="3" t="s">
        <v>85</v>
      </c>
      <c r="Y53" s="29"/>
      <c r="AE53" s="26"/>
      <c r="AF53" s="26"/>
      <c r="AG53" s="26"/>
      <c r="AH53" s="26"/>
    </row>
    <row r="54" spans="1:34" ht="12.75" customHeight="1">
      <c r="A54" s="24" t="s">
        <v>35</v>
      </c>
      <c r="B54" s="25"/>
      <c r="C54" s="26"/>
      <c r="D54" s="161">
        <f>IF(AND('公式'!$S32&gt;0,'公式'!$R32&gt;0,'公式'!$U32&gt;0,'公式'!$T32&gt;0),'公式'!$R32,IF(AND('公式'!$S32&gt;0,'公式'!$R32&gt;0,'公式'!$U32&lt;0,'公式'!$T32&gt;0,'公式'!$AC32&gt;0,'公式'!$AB32&gt;0,'公式'!AD32&gt;0),'公式'!$AB32,IF('公式'!$AG32&gt;0,'公式'!$AG32,0)))</f>
        <v>6690.204537671387</v>
      </c>
      <c r="E54" s="161"/>
      <c r="F54" s="27" t="s">
        <v>85</v>
      </c>
      <c r="G54" s="26"/>
      <c r="H54" s="28"/>
      <c r="I54" s="3"/>
      <c r="J54" s="161">
        <f>IF(AND('公式'!$S32&gt;0,'公式'!$R32&gt;0,'公式'!$U32&gt;0,'公式'!$T32&gt;0),'公式'!$S32,IF(AND('公式'!$S32&gt;0,'公式'!$R32&gt;0,'公式'!$U32&lt;0,'公式'!$T32&gt;0,'公式'!$AC32&gt;0,'公式'!$AB32&gt;0,'公式'!AD32&gt;0),'公式'!$AC32,IF('公式'!$AH32&gt;0,'公式'!$AH32,0)))</f>
        <v>4346.258355677132</v>
      </c>
      <c r="K54" s="161"/>
      <c r="L54" s="3" t="s">
        <v>85</v>
      </c>
      <c r="M54" s="29"/>
      <c r="N54" s="30"/>
      <c r="O54" s="26"/>
      <c r="P54" s="161">
        <f>IF(AND('公式'!$S32&gt;0,'公式'!$R32&gt;0,'公式'!$U32&gt;0,'公式'!$T32&gt;0),'公式'!$T32,IF(AND('公式'!$S32&gt;0,'公式'!$R32&gt;0,'公式'!$U32&lt;0,'公式'!$T32&gt;0,'公式'!$AC32&gt;0,'公式'!$AB32&gt;0,'公式'!AD32&gt;0),'公式'!$AD32,0))</f>
        <v>2594.7296610589124</v>
      </c>
      <c r="Q54" s="161"/>
      <c r="R54" s="26" t="s">
        <v>85</v>
      </c>
      <c r="S54" s="31"/>
      <c r="T54" s="26"/>
      <c r="U54" s="26"/>
      <c r="V54" s="161">
        <f>IF(AND('公式'!$S32&gt;0,'公式'!$R32&gt;0,'公式'!$U32&gt;0,'公式'!$T32&gt;0),'公式'!$U32,IF(AND('公式'!$S32&gt;0,'公式'!$R32&gt;0,'公式'!$U32&gt;0,'公式'!$T32&lt;0,'公式'!$AH32&gt;0,'公式'!$AG32&gt;0,'公式'!$AI32&gt;0),'公式'!$AI32,0))</f>
        <v>4906.00744559257</v>
      </c>
      <c r="W54" s="161"/>
      <c r="X54" s="26" t="s">
        <v>85</v>
      </c>
      <c r="Y54" s="31"/>
      <c r="AE54" s="26"/>
      <c r="AF54" s="26"/>
      <c r="AG54" s="26"/>
      <c r="AH54" s="26"/>
    </row>
    <row r="55" spans="1:34" ht="12.75" customHeight="1">
      <c r="A55" s="33" t="s">
        <v>36</v>
      </c>
      <c r="B55" s="34"/>
      <c r="C55" s="3"/>
      <c r="D55" s="161">
        <f>IF(AND('公式'!$S33&gt;0,'公式'!$R33&gt;0,'公式'!$U33&gt;0,'公式'!$T33&gt;0),'公式'!$R33,IF(AND('公式'!$S33&gt;0,'公式'!$R33&gt;0,'公式'!$U33&lt;0,'公式'!$T33&gt;0,'公式'!$AC33&gt;0,'公式'!$AB33&gt;0,'公式'!AD33&gt;0),'公式'!$AB33,IF('公式'!$AG33&gt;0,'公式'!$AG33,0)))</f>
        <v>6684.352745621584</v>
      </c>
      <c r="E55" s="161"/>
      <c r="F55" s="4" t="s">
        <v>85</v>
      </c>
      <c r="G55" s="3"/>
      <c r="H55" s="28"/>
      <c r="I55" s="3"/>
      <c r="J55" s="161">
        <f>IF(AND('公式'!$S33&gt;0,'公式'!$R33&gt;0,'公式'!$U33&gt;0,'公式'!$T33&gt;0),'公式'!$S33,IF(AND('公式'!$S33&gt;0,'公式'!$R33&gt;0,'公式'!$U33&lt;0,'公式'!$T33&gt;0,'公式'!$AC33&gt;0,'公式'!$AB33&gt;0,'公式'!AD33&gt;0),'公式'!$AC33,IF('公式'!$AH33&gt;0,'公式'!$AH33,0)))</f>
        <v>4191.30349213953</v>
      </c>
      <c r="K55" s="161"/>
      <c r="L55" s="3" t="s">
        <v>85</v>
      </c>
      <c r="M55" s="29"/>
      <c r="N55" s="28"/>
      <c r="O55" s="3"/>
      <c r="P55" s="161">
        <f>IF(AND('公式'!$S33&gt;0,'公式'!$R33&gt;0,'公式'!$U33&gt;0,'公式'!$T33&gt;0),'公式'!$T33,IF(AND('公式'!$S33&gt;0,'公式'!$R33&gt;0,'公式'!$U33&lt;0,'公式'!$T33&gt;0,'公式'!$AC33&gt;0,'公式'!$AB33&gt;0,'公式'!AD33&gt;0),'公式'!$AD33,0))</f>
        <v>2599.0956773285898</v>
      </c>
      <c r="Q55" s="161"/>
      <c r="R55" s="3" t="s">
        <v>85</v>
      </c>
      <c r="S55" s="29"/>
      <c r="T55" s="3"/>
      <c r="U55" s="3"/>
      <c r="V55" s="161">
        <f>IF(AND('公式'!$S33&gt;0,'公式'!$R33&gt;0,'公式'!$U33&gt;0,'公式'!$T33&gt;0),'公式'!$U33,IF(AND('公式'!$S33&gt;0,'公式'!$R33&gt;0,'公式'!$U33&gt;0,'公式'!$T33&lt;0,'公式'!$AH33&gt;0,'公式'!$AG33&gt;0,'公式'!$AI33&gt;0),'公式'!$AI33,0))</f>
        <v>5062.448084910297</v>
      </c>
      <c r="W55" s="161"/>
      <c r="X55" s="3" t="s">
        <v>85</v>
      </c>
      <c r="Y55" s="29"/>
      <c r="AE55" s="26"/>
      <c r="AF55" s="26"/>
      <c r="AG55" s="26"/>
      <c r="AH55" s="26"/>
    </row>
    <row r="56" spans="1:34" ht="12.75" customHeight="1">
      <c r="A56" s="38" t="s">
        <v>37</v>
      </c>
      <c r="B56" s="39"/>
      <c r="C56" s="40"/>
      <c r="D56" s="162">
        <f>IF(AND('公式'!$S34&gt;0,'公式'!$R34&gt;0,'公式'!$U34&gt;0,'公式'!$T34&gt;0),'公式'!$R34,IF(AND('公式'!$S34&gt;0,'公式'!$R34&gt;0,'公式'!$U34&lt;0,'公式'!$T34&gt;0,'公式'!$AC34&gt;0,'公式'!$AB34&gt;0,'公式'!AD34&gt;0),'公式'!$AB34,IF('公式'!$AG34&gt;0,'公式'!$AG34,0)))</f>
        <v>6664.816065413956</v>
      </c>
      <c r="E56" s="162"/>
      <c r="F56" s="41" t="s">
        <v>85</v>
      </c>
      <c r="G56" s="40"/>
      <c r="H56" s="42"/>
      <c r="I56" s="40"/>
      <c r="J56" s="162">
        <f>IF(AND('公式'!$S34&gt;0,'公式'!$R34&gt;0,'公式'!$U34&gt;0,'公式'!$T34&gt;0),'公式'!$S34,IF(AND('公式'!$S34&gt;0,'公式'!$R34&gt;0,'公式'!$U34&lt;0,'公式'!$T34&gt;0,'公式'!$AC34&gt;0,'公式'!$AB34&gt;0,'公式'!AD34&gt;0),'公式'!$AC34,IF('公式'!$AH34&gt;0,'公式'!$AH34,0)))</f>
        <v>4037.8028484233037</v>
      </c>
      <c r="K56" s="162"/>
      <c r="L56" s="40" t="s">
        <v>85</v>
      </c>
      <c r="M56" s="43"/>
      <c r="N56" s="42"/>
      <c r="O56" s="40"/>
      <c r="P56" s="162">
        <f>IF(AND('公式'!$S34&gt;0,'公式'!$R34&gt;0,'公式'!$U34&gt;0,'公式'!$T34&gt;0),'公式'!$T34,IF(AND('公式'!$S34&gt;0,'公式'!$R34&gt;0,'公式'!$U34&lt;0,'公式'!$T34&gt;0,'公式'!$AC34&gt;0,'公式'!$AB34&gt;0,'公式'!AD34&gt;0),'公式'!$AD34,0))</f>
        <v>2617.0335762917193</v>
      </c>
      <c r="Q56" s="162"/>
      <c r="R56" s="40" t="s">
        <v>85</v>
      </c>
      <c r="S56" s="43"/>
      <c r="T56" s="40"/>
      <c r="U56" s="40"/>
      <c r="V56" s="188">
        <f>IF(AND('公式'!$S34&gt;0,'公式'!$R34&gt;0,'公式'!$U34&gt;0,'公式'!$T34&gt;0),'公式'!$U34,IF(AND('公式'!$S34&gt;0,'公式'!$R34&gt;0,'公式'!$U34&gt;0,'公式'!$T34&lt;0,'公式'!$AH34&gt;0,'公式'!$AG34&gt;0,'公式'!$AI34&gt;0),'公式'!$AI34,0))</f>
        <v>5217.547509871021</v>
      </c>
      <c r="W56" s="188"/>
      <c r="X56" s="40" t="s">
        <v>85</v>
      </c>
      <c r="Y56" s="43"/>
      <c r="AE56" s="26"/>
      <c r="AF56" s="26"/>
      <c r="AG56" s="26"/>
      <c r="AH56" s="26"/>
    </row>
    <row r="57" spans="1:34" ht="12.75" customHeight="1">
      <c r="A57" s="18" t="s">
        <v>38</v>
      </c>
      <c r="B57" s="19"/>
      <c r="C57" s="20"/>
      <c r="D57" s="185">
        <f>IF(AND('公式'!$S35&gt;0,'公式'!$R35&gt;0,'公式'!$U35&gt;0,'公式'!$T35&gt;0),'公式'!$R35,IF(AND('公式'!$S35&gt;0,'公式'!$R35&gt;0,'公式'!$U35&lt;0,'公式'!$T35&gt;0,'公式'!$AC35&gt;0,'公式'!$AB35&gt;0,'公式'!AD35&gt;0),'公式'!$AB35,IF('公式'!$AG35&gt;0,'公式'!$AG35,0)))</f>
        <v>6631.743182981452</v>
      </c>
      <c r="E57" s="185"/>
      <c r="F57" s="21" t="s">
        <v>85</v>
      </c>
      <c r="G57" s="20"/>
      <c r="H57" s="44"/>
      <c r="I57" s="45"/>
      <c r="J57" s="164">
        <f>IF(AND('公式'!$S35&gt;0,'公式'!$R35&gt;0,'公式'!$U35&gt;0,'公式'!$T35&gt;0),'公式'!$S35,IF(AND('公式'!$S35&gt;0,'公式'!$R35&gt;0,'公式'!$U35&lt;0,'公式'!$T35&gt;0,'公式'!$AC35&gt;0,'公式'!$AB35&gt;0,'公式'!AD35&gt;0),'公式'!$AC35,IF('公式'!$AH35&gt;0,'公式'!$AH35,0)))</f>
        <v>3886.9246571133554</v>
      </c>
      <c r="K57" s="164"/>
      <c r="L57" s="45" t="s">
        <v>85</v>
      </c>
      <c r="M57" s="46"/>
      <c r="N57" s="22"/>
      <c r="O57" s="20"/>
      <c r="P57" s="185">
        <f>IF(AND('公式'!$S35&gt;0,'公式'!$R35&gt;0,'公式'!$U35&gt;0,'公式'!$T35&gt;0),'公式'!$T35,IF(AND('公式'!$S35&gt;0,'公式'!$R35&gt;0,'公式'!$U35&lt;0,'公式'!$T35&gt;0,'公式'!$AC35&gt;0,'公式'!$AB35&gt;0,'公式'!AD35&gt;0),'公式'!$AD35,0))</f>
        <v>2648.406839705991</v>
      </c>
      <c r="Q57" s="185"/>
      <c r="R57" s="20" t="s">
        <v>85</v>
      </c>
      <c r="S57" s="23"/>
      <c r="T57" s="20"/>
      <c r="U57" s="20"/>
      <c r="V57" s="187">
        <f>IF(AND('公式'!$S35&gt;0,'公式'!$R35&gt;0,'公式'!$U35&gt;0,'公式'!$T35&gt;0),'公式'!$U35,IF(AND('公式'!$S35&gt;0,'公式'!$R35&gt;0,'公式'!$U35&gt;0,'公式'!$T35&lt;0,'公式'!$AH35&gt;0,'公式'!$AG35&gt;0,'公式'!$AI35&gt;0),'公式'!$AI35,0))</f>
        <v>5370.125320199202</v>
      </c>
      <c r="W57" s="187"/>
      <c r="X57" s="20" t="s">
        <v>85</v>
      </c>
      <c r="Y57" s="23"/>
      <c r="AE57" s="26"/>
      <c r="AF57" s="26"/>
      <c r="AG57" s="26"/>
      <c r="AH57" s="26"/>
    </row>
    <row r="58" spans="1:34" ht="12.75" customHeight="1">
      <c r="A58" s="24" t="s">
        <v>39</v>
      </c>
      <c r="B58" s="25"/>
      <c r="C58" s="26"/>
      <c r="D58" s="161">
        <f>IF(AND('公式'!$S36&gt;0,'公式'!$R36&gt;0,'公式'!$U36&gt;0,'公式'!$T36&gt;0),'公式'!$R36,IF(AND('公式'!$S36&gt;0,'公式'!$R36&gt;0,'公式'!$U36&lt;0,'公式'!$T36&gt;0,'公式'!$AC36&gt;0,'公式'!$AB36&gt;0,'公式'!AD36&gt;0),'公式'!$AB36,IF('公式'!$AG36&gt;0,'公式'!$AG36,0)))</f>
        <v>6585.385802929339</v>
      </c>
      <c r="E58" s="161"/>
      <c r="F58" s="27" t="s">
        <v>85</v>
      </c>
      <c r="G58" s="26"/>
      <c r="H58" s="28"/>
      <c r="I58" s="3"/>
      <c r="J58" s="161">
        <f>IF(AND('公式'!$S36&gt;0,'公式'!$R36&gt;0,'公式'!$U36&gt;0,'公式'!$T36&gt;0),'公式'!$S36,IF(AND('公式'!$S36&gt;0,'公式'!$R36&gt;0,'公式'!$U36&lt;0,'公式'!$T36&gt;0,'公式'!$AC36&gt;0,'公式'!$AB36&gt;0,'公式'!AD36&gt;0),'公式'!$AC36,IF('公式'!$AH36&gt;0,'公式'!$AH36,0)))</f>
        <v>3739.8171923482987</v>
      </c>
      <c r="K58" s="161"/>
      <c r="L58" s="3" t="s">
        <v>85</v>
      </c>
      <c r="M58" s="29"/>
      <c r="N58" s="30"/>
      <c r="O58" s="26"/>
      <c r="P58" s="161">
        <f>IF(AND('公式'!$S36&gt;0,'公式'!$R36&gt;0,'公式'!$U36&gt;0,'公式'!$T36&gt;0),'公式'!$T36,IF(AND('公式'!$S36&gt;0,'公式'!$R36&gt;0,'公式'!$U36&lt;0,'公式'!$T36&gt;0,'公式'!$AC36&gt;0,'公式'!$AB36&gt;0,'公式'!AD36&gt;0),'公式'!$AD36,0))</f>
        <v>2692.976698093128</v>
      </c>
      <c r="Q58" s="161"/>
      <c r="R58" s="26" t="s">
        <v>85</v>
      </c>
      <c r="S58" s="31"/>
      <c r="T58" s="26"/>
      <c r="U58" s="26"/>
      <c r="V58" s="161">
        <f>IF(AND('公式'!$S36&gt;0,'公式'!$R36&gt;0,'公式'!$U36&gt;0,'公式'!$T36&gt;0),'公式'!$U36,IF(AND('公式'!$S36&gt;0,'公式'!$R36&gt;0,'公式'!$U36&gt;0,'公式'!$T36&lt;0,'公式'!$AH36&gt;0,'公式'!$AG36&gt;0,'公式'!$AI36&gt;0),'公式'!$AI36,0))</f>
        <v>5519.020306629236</v>
      </c>
      <c r="W58" s="161"/>
      <c r="X58" s="26" t="s">
        <v>85</v>
      </c>
      <c r="Y58" s="31"/>
      <c r="AE58" s="26"/>
      <c r="AF58" s="26"/>
      <c r="AG58" s="26"/>
      <c r="AH58" s="26"/>
    </row>
    <row r="59" spans="1:34" ht="12.75" customHeight="1">
      <c r="A59" s="33" t="s">
        <v>40</v>
      </c>
      <c r="B59" s="34"/>
      <c r="C59" s="3"/>
      <c r="D59" s="161">
        <f>IF(AND('公式'!$S37&gt;0,'公式'!$R37&gt;0,'公式'!$U37&gt;0,'公式'!$T37&gt;0),'公式'!$R37,IF(AND('公式'!$S37&gt;0,'公式'!$R37&gt;0,'公式'!$U37&lt;0,'公式'!$T37&gt;0,'公式'!$AC37&gt;0,'公式'!$AB37&gt;0,'公式'!AD37&gt;0),'公式'!$AB37,IF('公式'!$AG37&gt;0,'公式'!$AG37,0)))</f>
        <v>6526.096732911162</v>
      </c>
      <c r="E59" s="161"/>
      <c r="F59" s="4" t="s">
        <v>85</v>
      </c>
      <c r="G59" s="3"/>
      <c r="H59" s="28"/>
      <c r="I59" s="3"/>
      <c r="J59" s="161">
        <f>IF(AND('公式'!$S37&gt;0,'公式'!$R37&gt;0,'公式'!$U37&gt;0,'公式'!$T37&gt;0),'公式'!$S37,IF(AND('公式'!$S37&gt;0,'公式'!$R37&gt;0,'公式'!$U37&lt;0,'公式'!$T37&gt;0,'公式'!$AC37&gt;0,'公式'!$AB37&gt;0,'公式'!AD37&gt;0),'公式'!$AC37,IF('公式'!$AH37&gt;0,'公式'!$AH37,0)))</f>
        <v>3597.6000307609106</v>
      </c>
      <c r="K59" s="161"/>
      <c r="L59" s="3" t="s">
        <v>85</v>
      </c>
      <c r="M59" s="29"/>
      <c r="N59" s="28"/>
      <c r="O59" s="3"/>
      <c r="P59" s="161">
        <f>IF(AND('公式'!$S37&gt;0,'公式'!$R37&gt;0,'公式'!$U37&gt;0,'公式'!$T37&gt;0),'公式'!$T37,IF(AND('公式'!$S37&gt;0,'公式'!$R37&gt;0,'公式'!$U37&lt;0,'公式'!$T37&gt;0,'公式'!$AC37&gt;0,'公式'!$AB37&gt;0,'公式'!AD37&gt;0),'公式'!$AD37,0))</f>
        <v>2750.4039479187873</v>
      </c>
      <c r="Q59" s="161"/>
      <c r="R59" s="3" t="s">
        <v>85</v>
      </c>
      <c r="S59" s="29"/>
      <c r="T59" s="3"/>
      <c r="U59" s="3"/>
      <c r="V59" s="161">
        <f>IF(AND('公式'!$S37&gt;0,'公式'!$R37&gt;0,'公式'!$U37&gt;0,'公式'!$T37&gt;0),'公式'!$U37,IF(AND('公式'!$S37&gt;0,'公式'!$R37&gt;0,'公式'!$U37&gt;0,'公式'!$T37&lt;0,'公式'!$AH37&gt;0,'公式'!$AG37&gt;0,'公式'!$AI37&gt;0),'公式'!$AI37,0))</f>
        <v>5663.099288409142</v>
      </c>
      <c r="W59" s="161"/>
      <c r="X59" s="3" t="s">
        <v>85</v>
      </c>
      <c r="Y59" s="29"/>
      <c r="AE59" s="26"/>
      <c r="AF59" s="26"/>
      <c r="AG59" s="26"/>
      <c r="AH59" s="26"/>
    </row>
    <row r="60" spans="1:34" ht="12.75" customHeight="1">
      <c r="A60" s="24" t="s">
        <v>41</v>
      </c>
      <c r="B60" s="25"/>
      <c r="C60" s="26"/>
      <c r="D60" s="161">
        <f>IF(AND('公式'!$S38&gt;0,'公式'!$R38&gt;0,'公式'!$U38&gt;0,'公式'!$T38&gt;0),'公式'!$R38,IF(AND('公式'!$S38&gt;0,'公式'!$R38&gt;0,'公式'!$U38&lt;0,'公式'!$T38&gt;0,'公式'!$AC38&gt;0,'公式'!$AB38&gt;0,'公式'!AD38&gt;0),'公式'!$AB38,IF('公式'!$AG38&gt;0,'公式'!$AG38,0)))</f>
        <v>6454.327198549478</v>
      </c>
      <c r="E60" s="161"/>
      <c r="F60" s="27" t="s">
        <v>85</v>
      </c>
      <c r="G60" s="26"/>
      <c r="H60" s="28"/>
      <c r="I60" s="3"/>
      <c r="J60" s="161">
        <f>IF(AND('公式'!$S38&gt;0,'公式'!$R38&gt;0,'公式'!$U38&gt;0,'公式'!$T38&gt;0),'公式'!$S38,IF(AND('公式'!$S38&gt;0,'公式'!$R38&gt;0,'公式'!$U38&lt;0,'公式'!$T38&gt;0,'公式'!$AC38&gt;0,'公式'!$AB38&gt;0,'公式'!AD38&gt;0),'公式'!$AC38,IF('公式'!$AH38&gt;0,'公式'!$AH38,0)))</f>
        <v>3461.3555308239406</v>
      </c>
      <c r="K60" s="161"/>
      <c r="L60" s="3" t="s">
        <v>85</v>
      </c>
      <c r="M60" s="29"/>
      <c r="N60" s="30"/>
      <c r="O60" s="26"/>
      <c r="P60" s="161">
        <f>IF(AND('公式'!$S38&gt;0,'公式'!$R38&gt;0,'公式'!$U38&gt;0,'公式'!$T38&gt;0),'公式'!$T38,IF(AND('公式'!$S38&gt;0,'公式'!$R38&gt;0,'公式'!$U38&lt;0,'公式'!$T38&gt;0,'公式'!$AC38&gt;0,'公式'!$AB38&gt;0,'公式'!AD38&gt;0),'公式'!$AD38,0))</f>
        <v>2820.251533136275</v>
      </c>
      <c r="Q60" s="161"/>
      <c r="R60" s="26" t="s">
        <v>85</v>
      </c>
      <c r="S60" s="31"/>
      <c r="T60" s="26"/>
      <c r="U60" s="26"/>
      <c r="V60" s="161">
        <f>IF(AND('公式'!$S38&gt;0,'公式'!$R38&gt;0,'公式'!$U38&gt;0,'公式'!$T38&gt;0),'公式'!$U38,IF(AND('公式'!$S38&gt;0,'公式'!$R38&gt;0,'公式'!$U38&gt;0,'公式'!$T38&lt;0,'公式'!$AH38&gt;0,'公式'!$AG38&gt;0,'公式'!$AI38&gt;0),'公式'!$AI38,0))</f>
        <v>5801.265737490307</v>
      </c>
      <c r="W60" s="161"/>
      <c r="X60" s="26" t="s">
        <v>85</v>
      </c>
      <c r="Y60" s="31"/>
      <c r="AE60" s="26"/>
      <c r="AF60" s="26"/>
      <c r="AG60" s="26"/>
      <c r="AH60" s="26"/>
    </row>
    <row r="61" spans="1:34" ht="12.75" customHeight="1">
      <c r="A61" s="33" t="s">
        <v>42</v>
      </c>
      <c r="B61" s="34"/>
      <c r="C61" s="3"/>
      <c r="D61" s="161">
        <f>IF(AND('公式'!$S39&gt;0,'公式'!$R39&gt;0,'公式'!$U39&gt;0,'公式'!$T39&gt;0),'公式'!$R39,IF(AND('公式'!$S39&gt;0,'公式'!$R39&gt;0,'公式'!$U39&lt;0,'公式'!$T39&gt;0,'公式'!$AC39&gt;0,'公式'!$AB39&gt;0,'公式'!AD39&gt;0),'公式'!$AB39,IF('公式'!$AG39&gt;0,'公式'!$AG39,0)))</f>
        <v>6370.623409336412</v>
      </c>
      <c r="E61" s="161"/>
      <c r="F61" s="4" t="s">
        <v>85</v>
      </c>
      <c r="G61" s="3"/>
      <c r="H61" s="28"/>
      <c r="I61" s="3"/>
      <c r="J61" s="161">
        <f>IF(AND('公式'!$S39&gt;0,'公式'!$R39&gt;0,'公式'!$U39&gt;0,'公式'!$T39&gt;0),'公式'!$S39,IF(AND('公式'!$S39&gt;0,'公式'!$R39&gt;0,'公式'!$U39&lt;0,'公式'!$T39&gt;0,'公式'!$AC39&gt;0,'公式'!$AB39&gt;0,'公式'!AD39&gt;0),'公式'!$AC39,IF('公式'!$AH39&gt;0,'公式'!$AH39,0)))</f>
        <v>3332.1205954485868</v>
      </c>
      <c r="K61" s="161"/>
      <c r="L61" s="3" t="s">
        <v>85</v>
      </c>
      <c r="M61" s="29"/>
      <c r="N61" s="28"/>
      <c r="O61" s="3"/>
      <c r="P61" s="161">
        <f>IF(AND('公式'!$S39&gt;0,'公式'!$R39&gt;0,'公式'!$U39&gt;0,'公式'!$T39&gt;0),'公式'!$T39,IF(AND('公式'!$S39&gt;0,'公式'!$R39&gt;0,'公式'!$U39&lt;0,'公式'!$T39&gt;0,'公式'!$AC39&gt;0,'公式'!$AB39&gt;0,'公式'!AD39&gt;0),'公式'!$AD39,0))</f>
        <v>2901.9878714469614</v>
      </c>
      <c r="Q61" s="161"/>
      <c r="R61" s="3" t="s">
        <v>85</v>
      </c>
      <c r="S61" s="29"/>
      <c r="T61" s="3"/>
      <c r="U61" s="3"/>
      <c r="V61" s="161">
        <f>IF(AND('公式'!$S39&gt;0,'公式'!$R39&gt;0,'公式'!$U39&gt;0,'公式'!$T39&gt;0),'公式'!$U39,IF(AND('公式'!$S39&gt;0,'公式'!$R39&gt;0,'公式'!$U39&gt;0,'公式'!$T39&lt;0,'公式'!$AH39&gt;0,'公式'!$AG39&gt;0,'公式'!$AI39&gt;0),'公式'!$AI39,0))</f>
        <v>5932.468123768041</v>
      </c>
      <c r="W61" s="161"/>
      <c r="X61" s="3" t="s">
        <v>85</v>
      </c>
      <c r="Y61" s="29"/>
      <c r="AE61" s="26"/>
      <c r="AF61" s="26"/>
      <c r="AG61" s="26"/>
      <c r="AH61" s="26"/>
    </row>
    <row r="62" spans="1:34" ht="12.75" customHeight="1">
      <c r="A62" s="24" t="s">
        <v>43</v>
      </c>
      <c r="B62" s="25"/>
      <c r="C62" s="26"/>
      <c r="D62" s="161">
        <f>IF(AND('公式'!$S40&gt;0,'公式'!$R40&gt;0,'公式'!$U40&gt;0,'公式'!$T40&gt;0),'公式'!$R40,IF(AND('公式'!$S40&gt;0,'公式'!$R40&gt;0,'公式'!$U40&lt;0,'公式'!$T40&gt;0,'公式'!$AC40&gt;0,'公式'!$AB40&gt;0,'公式'!AD40&gt;0),'公式'!$AB40,IF('公式'!$AG40&gt;0,'公式'!$AG40,0)))</f>
        <v>6275.622401649604</v>
      </c>
      <c r="E62" s="161"/>
      <c r="F62" s="27" t="s">
        <v>85</v>
      </c>
      <c r="G62" s="26"/>
      <c r="H62" s="28"/>
      <c r="I62" s="3"/>
      <c r="J62" s="161">
        <f>IF(AND('公式'!$S40&gt;0,'公式'!$R40&gt;0,'公式'!$U40&gt;0,'公式'!$T40&gt;0),'公式'!$S40,IF(AND('公式'!$S40&gt;0,'公式'!$R40&gt;0,'公式'!$U40&lt;0,'公式'!$T40&gt;0,'公式'!$AC40&gt;0,'公式'!$AB40&gt;0,'公式'!AD40&gt;0),'公式'!$AC40,IF('公式'!$AH40&gt;0,'公式'!$AH40,0)))</f>
        <v>3210.878780527245</v>
      </c>
      <c r="K62" s="161"/>
      <c r="L62" s="3" t="s">
        <v>85</v>
      </c>
      <c r="M62" s="29"/>
      <c r="N62" s="30"/>
      <c r="O62" s="26"/>
      <c r="P62" s="161">
        <f>IF(AND('公式'!$S40&gt;0,'公式'!$R40&gt;0,'公式'!$U40&gt;0,'公式'!$T40&gt;0),'公式'!$T40,IF(AND('公式'!$S40&gt;0,'公式'!$R40&gt;0,'公式'!$U40&lt;0,'公式'!$T40&gt;0,'公式'!$AC40&gt;0,'公式'!$AB40&gt;0,'公式'!AD40&gt;0),'公式'!$AD40,0))</f>
        <v>2994.9908999625495</v>
      </c>
      <c r="Q62" s="161"/>
      <c r="R62" s="26" t="s">
        <v>85</v>
      </c>
      <c r="S62" s="31"/>
      <c r="T62" s="26"/>
      <c r="U62" s="26"/>
      <c r="V62" s="161">
        <f>IF(AND('公式'!$S40&gt;0,'公式'!$R40&gt;0,'公式'!$U40&gt;0,'公式'!$T40&gt;0),'公式'!$U40,IF(AND('公式'!$S40&gt;0,'公式'!$R40&gt;0,'公式'!$U40&gt;0,'公式'!$T40&lt;0,'公式'!$AH40&gt;0,'公式'!$AG40&gt;0,'公式'!$AI40&gt;0),'公式'!$AI40,0))</f>
        <v>6055.707917860603</v>
      </c>
      <c r="W62" s="161"/>
      <c r="X62" s="26" t="s">
        <v>85</v>
      </c>
      <c r="Y62" s="31"/>
      <c r="AE62" s="26"/>
      <c r="AF62" s="26"/>
      <c r="AG62" s="26"/>
      <c r="AH62" s="26"/>
    </row>
    <row r="63" spans="1:34" ht="12.75" customHeight="1">
      <c r="A63" s="38" t="s">
        <v>44</v>
      </c>
      <c r="B63" s="39"/>
      <c r="C63" s="40"/>
      <c r="D63" s="162">
        <f>IF(AND('公式'!$S41&gt;0,'公式'!$R41&gt;0,'公式'!$U41&gt;0,'公式'!$T41&gt;0),'公式'!$R41,IF(AND('公式'!$S41&gt;0,'公式'!$R41&gt;0,'公式'!$U41&lt;0,'公式'!$T41&gt;0,'公式'!$AC41&gt;0,'公式'!$AB41&gt;0,'公式'!AD41&gt;0),'公式'!$AB41,IF('公式'!$AG41&gt;0,'公式'!$AG41,0)))</f>
        <v>6170.047190520726</v>
      </c>
      <c r="E63" s="162"/>
      <c r="F63" s="41" t="s">
        <v>85</v>
      </c>
      <c r="G63" s="40"/>
      <c r="H63" s="42"/>
      <c r="I63" s="40"/>
      <c r="J63" s="162">
        <f>IF(AND('公式'!$S41&gt;0,'公式'!$R41&gt;0,'公式'!$U41&gt;0,'公式'!$T41&gt;0),'公式'!$S41,IF(AND('公式'!$S41&gt;0,'公式'!$R41&gt;0,'公式'!$U41&lt;0,'公式'!$T41&gt;0,'公式'!$AC41&gt;0,'公式'!$AB41&gt;0,'公式'!AD41&gt;0),'公式'!$AC41,IF('公式'!$AH41&gt;0,'公式'!$AH41,0)))</f>
        <v>3098.5528094792744</v>
      </c>
      <c r="K63" s="162"/>
      <c r="L63" s="40" t="s">
        <v>85</v>
      </c>
      <c r="M63" s="43"/>
      <c r="N63" s="42"/>
      <c r="O63" s="40"/>
      <c r="P63" s="162">
        <f>IF(AND('公式'!$S41&gt;0,'公式'!$R41&gt;0,'公式'!$U41&gt;0,'公式'!$T41&gt;0),'公式'!$T41,IF(AND('公式'!$S41&gt;0,'公式'!$R41&gt;0,'公式'!$U41&lt;0,'公式'!$T41&gt;0,'公式'!$AC41&gt;0,'公式'!$AB41&gt;0,'公式'!AD41&gt;0),'公式'!$AD41,0))</f>
        <v>3098.5528094792744</v>
      </c>
      <c r="Q63" s="162"/>
      <c r="R63" s="40" t="s">
        <v>85</v>
      </c>
      <c r="S63" s="43"/>
      <c r="T63" s="40"/>
      <c r="U63" s="40"/>
      <c r="V63" s="188">
        <f>IF(AND('公式'!$S41&gt;0,'公式'!$R41&gt;0,'公式'!$U41&gt;0,'公式'!$T41&gt;0),'公式'!$U41,IF(AND('公式'!$S41&gt;0,'公式'!$R41&gt;0,'公式'!$U41&gt;0,'公式'!$T41&lt;0,'公式'!$AH41&gt;0,'公式'!$AG41&gt;0,'公式'!$AI41&gt;0),'公式'!$AI41,0))</f>
        <v>6170.047190520726</v>
      </c>
      <c r="W63" s="188"/>
      <c r="X63" s="40" t="s">
        <v>85</v>
      </c>
      <c r="Y63" s="43"/>
      <c r="AE63" s="26"/>
      <c r="AF63" s="26"/>
      <c r="AG63" s="26"/>
      <c r="AH63" s="26"/>
    </row>
    <row r="64" spans="31:34" ht="15">
      <c r="AE64" s="26"/>
      <c r="AF64" s="26"/>
      <c r="AG64" s="26"/>
      <c r="AH64" s="26"/>
    </row>
    <row r="65" spans="1:34" ht="15">
      <c r="A65" s="49" t="s">
        <v>109</v>
      </c>
      <c r="D65" s="191">
        <f>MAX(D27:E63)</f>
        <v>6690.204537671387</v>
      </c>
      <c r="E65" s="191"/>
      <c r="F65" s="191"/>
      <c r="I65" s="191">
        <f>MAX(J27:AH63)</f>
        <v>6170.047190520726</v>
      </c>
      <c r="J65" s="191"/>
      <c r="K65" s="176"/>
      <c r="L65" s="176"/>
      <c r="P65" s="191">
        <f>MAX(V27:W63)</f>
        <v>6170.047190520726</v>
      </c>
      <c r="Q65" s="191"/>
      <c r="R65" s="191"/>
      <c r="V65" s="191">
        <f>MAX(P27:Q63)</f>
        <v>5666.210402199558</v>
      </c>
      <c r="W65" s="191"/>
      <c r="X65" s="191"/>
      <c r="AE65" s="26"/>
      <c r="AF65" s="26"/>
      <c r="AG65" s="26"/>
      <c r="AH65" s="26"/>
    </row>
    <row r="66" spans="31:34" ht="15">
      <c r="AE66" s="26"/>
      <c r="AF66" s="26"/>
      <c r="AG66" s="26"/>
      <c r="AH66" s="26"/>
    </row>
    <row r="67" spans="31:34" ht="15">
      <c r="AE67" s="26"/>
      <c r="AF67" s="26"/>
      <c r="AG67" s="26"/>
      <c r="AH67" s="26"/>
    </row>
    <row r="68" spans="31:34" ht="15">
      <c r="AE68" s="26"/>
      <c r="AF68" s="26"/>
      <c r="AG68" s="26"/>
      <c r="AH68" s="26"/>
    </row>
    <row r="69" spans="31:34" ht="15">
      <c r="AE69" s="26"/>
      <c r="AF69" s="26"/>
      <c r="AG69" s="26"/>
      <c r="AH69" s="26"/>
    </row>
    <row r="70" spans="31:34" ht="15">
      <c r="AE70" s="26"/>
      <c r="AF70" s="26"/>
      <c r="AG70" s="26"/>
      <c r="AH70" s="26"/>
    </row>
    <row r="71" spans="31:34" ht="15">
      <c r="AE71" s="26"/>
      <c r="AF71" s="26"/>
      <c r="AG71" s="26"/>
      <c r="AH71" s="26"/>
    </row>
    <row r="72" spans="31:34" ht="15">
      <c r="AE72" s="26"/>
      <c r="AF72" s="26"/>
      <c r="AG72" s="26"/>
      <c r="AH72" s="26"/>
    </row>
    <row r="73" spans="31:34" ht="15">
      <c r="AE73" s="26"/>
      <c r="AF73" s="26"/>
      <c r="AG73" s="26"/>
      <c r="AH73" s="26"/>
    </row>
    <row r="74" spans="31:34" ht="15">
      <c r="AE74" s="26"/>
      <c r="AF74" s="26"/>
      <c r="AG74" s="26"/>
      <c r="AH74" s="26"/>
    </row>
    <row r="75" spans="31:34" ht="15">
      <c r="AE75" s="26"/>
      <c r="AF75" s="26"/>
      <c r="AG75" s="26"/>
      <c r="AH75" s="26"/>
    </row>
    <row r="76" spans="31:34" ht="15">
      <c r="AE76" s="26"/>
      <c r="AF76" s="26"/>
      <c r="AG76" s="26"/>
      <c r="AH76" s="26"/>
    </row>
    <row r="77" spans="31:34" ht="15">
      <c r="AE77" s="26"/>
      <c r="AF77" s="26"/>
      <c r="AG77" s="26"/>
      <c r="AH77" s="26"/>
    </row>
    <row r="78" spans="31:34" ht="15">
      <c r="AE78" s="26"/>
      <c r="AF78" s="26"/>
      <c r="AG78" s="26"/>
      <c r="AH78" s="26"/>
    </row>
    <row r="79" spans="31:34" ht="15">
      <c r="AE79" s="26"/>
      <c r="AF79" s="26"/>
      <c r="AG79" s="26"/>
      <c r="AH79" s="26"/>
    </row>
    <row r="80" spans="31:34" ht="15">
      <c r="AE80" s="26"/>
      <c r="AF80" s="26"/>
      <c r="AG80" s="26"/>
      <c r="AH80" s="26"/>
    </row>
    <row r="81" spans="31:34" ht="15">
      <c r="AE81" s="26"/>
      <c r="AF81" s="26"/>
      <c r="AG81" s="26"/>
      <c r="AH81" s="26"/>
    </row>
    <row r="82" spans="31:34" ht="15">
      <c r="AE82" s="26"/>
      <c r="AF82" s="26"/>
      <c r="AG82" s="26"/>
      <c r="AH82" s="26"/>
    </row>
    <row r="83" spans="31:34" ht="15">
      <c r="AE83" s="26"/>
      <c r="AF83" s="26"/>
      <c r="AG83" s="26"/>
      <c r="AH83" s="26"/>
    </row>
    <row r="84" spans="31:34" ht="15">
      <c r="AE84" s="26"/>
      <c r="AF84" s="26"/>
      <c r="AG84" s="26"/>
      <c r="AH84" s="26"/>
    </row>
    <row r="85" spans="31:34" ht="15">
      <c r="AE85" s="26"/>
      <c r="AF85" s="26"/>
      <c r="AG85" s="26"/>
      <c r="AH85" s="26"/>
    </row>
    <row r="86" spans="31:34" ht="15">
      <c r="AE86" s="26"/>
      <c r="AF86" s="26"/>
      <c r="AG86" s="26"/>
      <c r="AH86" s="26"/>
    </row>
    <row r="87" spans="31:34" ht="15">
      <c r="AE87" s="26"/>
      <c r="AF87" s="26"/>
      <c r="AG87" s="26"/>
      <c r="AH87" s="26"/>
    </row>
    <row r="88" spans="31:34" ht="15">
      <c r="AE88" s="26"/>
      <c r="AF88" s="26"/>
      <c r="AG88" s="26"/>
      <c r="AH88" s="26"/>
    </row>
    <row r="89" spans="31:34" ht="15">
      <c r="AE89" s="26"/>
      <c r="AF89" s="26"/>
      <c r="AG89" s="26"/>
      <c r="AH89" s="26"/>
    </row>
    <row r="90" spans="31:34" ht="15">
      <c r="AE90" s="26"/>
      <c r="AF90" s="26"/>
      <c r="AG90" s="26"/>
      <c r="AH90" s="26"/>
    </row>
    <row r="91" spans="31:34" ht="15">
      <c r="AE91" s="26"/>
      <c r="AF91" s="26"/>
      <c r="AG91" s="26"/>
      <c r="AH91" s="26"/>
    </row>
    <row r="92" spans="31:34" ht="15">
      <c r="AE92" s="26"/>
      <c r="AF92" s="26"/>
      <c r="AG92" s="26"/>
      <c r="AH92" s="26"/>
    </row>
    <row r="93" spans="31:34" ht="15">
      <c r="AE93" s="26"/>
      <c r="AF93" s="26"/>
      <c r="AG93" s="26"/>
      <c r="AH93" s="26"/>
    </row>
    <row r="94" spans="31:34" ht="15">
      <c r="AE94" s="26"/>
      <c r="AF94" s="26"/>
      <c r="AG94" s="26"/>
      <c r="AH94" s="26"/>
    </row>
    <row r="95" spans="31:34" ht="15">
      <c r="AE95" s="26"/>
      <c r="AF95" s="26"/>
      <c r="AG95" s="26"/>
      <c r="AH95" s="26"/>
    </row>
    <row r="96" spans="31:34" ht="15">
      <c r="AE96" s="26"/>
      <c r="AF96" s="26"/>
      <c r="AG96" s="26"/>
      <c r="AH96" s="26"/>
    </row>
    <row r="97" spans="31:34" ht="15">
      <c r="AE97" s="26"/>
      <c r="AF97" s="26"/>
      <c r="AG97" s="26"/>
      <c r="AH97" s="26"/>
    </row>
    <row r="98" spans="31:34" ht="15">
      <c r="AE98" s="26"/>
      <c r="AF98" s="26"/>
      <c r="AG98" s="26"/>
      <c r="AH98" s="26"/>
    </row>
    <row r="99" spans="31:33" ht="15">
      <c r="AE99" s="26"/>
      <c r="AF99" s="26"/>
      <c r="AG99" s="26"/>
    </row>
    <row r="100" spans="31:33" ht="15">
      <c r="AE100" s="26"/>
      <c r="AF100" s="26"/>
      <c r="AG100" s="26"/>
    </row>
    <row r="101" spans="31:33" ht="15">
      <c r="AE101" s="26"/>
      <c r="AF101" s="26"/>
      <c r="AG101" s="26"/>
    </row>
    <row r="102" spans="31:33" ht="15">
      <c r="AE102" s="26"/>
      <c r="AF102" s="26"/>
      <c r="AG102" s="26"/>
    </row>
  </sheetData>
  <sheetProtection password="B4C0" sheet="1" formatCells="0" formatColumns="0" formatRows="0" insertColumns="0" insertRows="0" insertHyperlinks="0" deleteColumns="0" deleteRows="0" sort="0" autoFilter="0" pivotTables="0"/>
  <protectedRanges>
    <protectedRange sqref="N22" name="net rated load"/>
  </protectedRanges>
  <mergeCells count="182">
    <mergeCell ref="A14:B14"/>
    <mergeCell ref="G14:H14"/>
    <mergeCell ref="P57:Q57"/>
    <mergeCell ref="P58:Q58"/>
    <mergeCell ref="P59:Q59"/>
    <mergeCell ref="I65:L65"/>
    <mergeCell ref="D65:F65"/>
    <mergeCell ref="P65:R65"/>
    <mergeCell ref="P60:Q60"/>
    <mergeCell ref="P53:Q53"/>
    <mergeCell ref="V65:X65"/>
    <mergeCell ref="P63:Q63"/>
    <mergeCell ref="B22:C22"/>
    <mergeCell ref="H22:I22"/>
    <mergeCell ref="P62:Q62"/>
    <mergeCell ref="P56:Q56"/>
    <mergeCell ref="P49:Q49"/>
    <mergeCell ref="P50:Q50"/>
    <mergeCell ref="P51:Q51"/>
    <mergeCell ref="P52:Q52"/>
    <mergeCell ref="P54:Q54"/>
    <mergeCell ref="P55:Q55"/>
    <mergeCell ref="A1:B1"/>
    <mergeCell ref="P61:Q61"/>
    <mergeCell ref="P40:Q40"/>
    <mergeCell ref="Q20:S20"/>
    <mergeCell ref="A13:B13"/>
    <mergeCell ref="G13:H13"/>
    <mergeCell ref="P41:Q41"/>
    <mergeCell ref="P42:Q42"/>
    <mergeCell ref="P35:Q35"/>
    <mergeCell ref="P36:Q36"/>
    <mergeCell ref="P37:Q37"/>
    <mergeCell ref="P38:Q38"/>
    <mergeCell ref="P39:Q39"/>
    <mergeCell ref="P29:Q29"/>
    <mergeCell ref="P30:Q30"/>
    <mergeCell ref="P31:Q31"/>
    <mergeCell ref="P32:Q32"/>
    <mergeCell ref="P33:Q33"/>
    <mergeCell ref="P34:Q34"/>
    <mergeCell ref="V50:W50"/>
    <mergeCell ref="V51:W51"/>
    <mergeCell ref="V52:W52"/>
    <mergeCell ref="V53:W53"/>
    <mergeCell ref="V62:W62"/>
    <mergeCell ref="V49:W49"/>
    <mergeCell ref="P44:Q44"/>
    <mergeCell ref="V45:W45"/>
    <mergeCell ref="P46:Q46"/>
    <mergeCell ref="V63:W63"/>
    <mergeCell ref="V61:W61"/>
    <mergeCell ref="V54:W54"/>
    <mergeCell ref="V55:W55"/>
    <mergeCell ref="V56:W56"/>
    <mergeCell ref="V57:W57"/>
    <mergeCell ref="V58:W58"/>
    <mergeCell ref="V59:W59"/>
    <mergeCell ref="V60:W60"/>
    <mergeCell ref="P47:Q47"/>
    <mergeCell ref="P48:Q48"/>
    <mergeCell ref="V46:W46"/>
    <mergeCell ref="V47:W47"/>
    <mergeCell ref="V42:W42"/>
    <mergeCell ref="V43:W43"/>
    <mergeCell ref="V44:W44"/>
    <mergeCell ref="P43:Q43"/>
    <mergeCell ref="P45:Q45"/>
    <mergeCell ref="V48:W48"/>
    <mergeCell ref="V36:W36"/>
    <mergeCell ref="V37:W37"/>
    <mergeCell ref="V38:W38"/>
    <mergeCell ref="V39:W39"/>
    <mergeCell ref="V40:W40"/>
    <mergeCell ref="V41:W41"/>
    <mergeCell ref="D60:E60"/>
    <mergeCell ref="D61:E61"/>
    <mergeCell ref="D62:E62"/>
    <mergeCell ref="D63:E63"/>
    <mergeCell ref="V30:W30"/>
    <mergeCell ref="V31:W31"/>
    <mergeCell ref="V32:W32"/>
    <mergeCell ref="V33:W33"/>
    <mergeCell ref="V34:W34"/>
    <mergeCell ref="V35:W35"/>
    <mergeCell ref="D54:E54"/>
    <mergeCell ref="D55:E55"/>
    <mergeCell ref="D56:E56"/>
    <mergeCell ref="D57:E57"/>
    <mergeCell ref="D58:E58"/>
    <mergeCell ref="D59:E59"/>
    <mergeCell ref="D48:E48"/>
    <mergeCell ref="D49:E49"/>
    <mergeCell ref="D50:E50"/>
    <mergeCell ref="D51:E51"/>
    <mergeCell ref="D52:E52"/>
    <mergeCell ref="D53:E53"/>
    <mergeCell ref="D42:E42"/>
    <mergeCell ref="D43:E43"/>
    <mergeCell ref="D44:E44"/>
    <mergeCell ref="D45:E45"/>
    <mergeCell ref="D46:E46"/>
    <mergeCell ref="D47:E47"/>
    <mergeCell ref="D39:E39"/>
    <mergeCell ref="D40:E40"/>
    <mergeCell ref="D38:E38"/>
    <mergeCell ref="D36:E36"/>
    <mergeCell ref="D37:E37"/>
    <mergeCell ref="D41:E41"/>
    <mergeCell ref="D30:E30"/>
    <mergeCell ref="D31:E31"/>
    <mergeCell ref="D32:E32"/>
    <mergeCell ref="D33:E33"/>
    <mergeCell ref="D34:E34"/>
    <mergeCell ref="D35:E35"/>
    <mergeCell ref="D28:E28"/>
    <mergeCell ref="D29:E29"/>
    <mergeCell ref="V28:W28"/>
    <mergeCell ref="V27:W27"/>
    <mergeCell ref="V29:W29"/>
    <mergeCell ref="J28:K28"/>
    <mergeCell ref="J29:K29"/>
    <mergeCell ref="J27:K27"/>
    <mergeCell ref="P27:Q27"/>
    <mergeCell ref="P28:Q28"/>
    <mergeCell ref="G9:H9"/>
    <mergeCell ref="D27:E27"/>
    <mergeCell ref="G10:H10"/>
    <mergeCell ref="G17:H17"/>
    <mergeCell ref="G16:H16"/>
    <mergeCell ref="G11:H11"/>
    <mergeCell ref="G3:H3"/>
    <mergeCell ref="G4:H4"/>
    <mergeCell ref="G5:H5"/>
    <mergeCell ref="G6:H6"/>
    <mergeCell ref="G7:H7"/>
    <mergeCell ref="G8:H8"/>
    <mergeCell ref="N24:S26"/>
    <mergeCell ref="T24:Y26"/>
    <mergeCell ref="G18:H18"/>
    <mergeCell ref="G12:H12"/>
    <mergeCell ref="N22:O22"/>
    <mergeCell ref="G15:H15"/>
    <mergeCell ref="B24:G26"/>
    <mergeCell ref="H24:M26"/>
    <mergeCell ref="A12:B12"/>
    <mergeCell ref="A18:B18"/>
    <mergeCell ref="J34:K34"/>
    <mergeCell ref="J35:K35"/>
    <mergeCell ref="J36:K36"/>
    <mergeCell ref="J37:K37"/>
    <mergeCell ref="J30:K30"/>
    <mergeCell ref="J31:K31"/>
    <mergeCell ref="J32:K32"/>
    <mergeCell ref="J33:K33"/>
    <mergeCell ref="J42:K42"/>
    <mergeCell ref="J43:K43"/>
    <mergeCell ref="J44:K44"/>
    <mergeCell ref="J45:K45"/>
    <mergeCell ref="J38:K38"/>
    <mergeCell ref="J39:K39"/>
    <mergeCell ref="J40:K40"/>
    <mergeCell ref="J41:K41"/>
    <mergeCell ref="J57:K57"/>
    <mergeCell ref="J50:K50"/>
    <mergeCell ref="J51:K51"/>
    <mergeCell ref="J52:K52"/>
    <mergeCell ref="J53:K53"/>
    <mergeCell ref="J46:K46"/>
    <mergeCell ref="J47:K47"/>
    <mergeCell ref="J48:K48"/>
    <mergeCell ref="J49:K49"/>
    <mergeCell ref="J62:K62"/>
    <mergeCell ref="J63:K63"/>
    <mergeCell ref="B20:C20"/>
    <mergeCell ref="J58:K58"/>
    <mergeCell ref="J59:K59"/>
    <mergeCell ref="J60:K60"/>
    <mergeCell ref="J61:K61"/>
    <mergeCell ref="J54:K54"/>
    <mergeCell ref="J55:K55"/>
    <mergeCell ref="J56:K56"/>
  </mergeCells>
  <printOptions/>
  <pageMargins left="0.7874015748031497" right="0.3937007874015748" top="0.3937007874015748" bottom="0.2" header="0.5118110236220472" footer="0.29"/>
  <pageSetup horizontalDpi="300" verticalDpi="300" orientation="portrait" paperSize="9" scale="86" r:id="rId2"/>
  <headerFooter alignWithMargins="0">
    <oddFooter>&amp;L&amp;D  &amp;T&amp;R&amp;F  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K86"/>
  <sheetViews>
    <sheetView zoomScalePageLayoutView="0" workbookViewId="0" topLeftCell="A2">
      <selection activeCell="A2" sqref="A2"/>
    </sheetView>
  </sheetViews>
  <sheetFormatPr defaultColWidth="9.00390625" defaultRowHeight="13.5"/>
  <cols>
    <col min="1" max="1" width="28.00390625" style="50" customWidth="1"/>
    <col min="2" max="8" width="11.625" style="50" customWidth="1"/>
    <col min="9" max="10" width="9.00390625" style="50" customWidth="1"/>
    <col min="11" max="11" width="15.625" style="50" customWidth="1"/>
    <col min="12" max="16384" width="9.00390625" style="50" customWidth="1"/>
  </cols>
  <sheetData>
    <row r="1" ht="15" hidden="1"/>
    <row r="2" ht="15">
      <c r="A2" s="50" t="s">
        <v>47</v>
      </c>
    </row>
    <row r="3" spans="1:8" ht="15">
      <c r="A3" s="51"/>
      <c r="B3" s="52" t="s">
        <v>48</v>
      </c>
      <c r="C3" s="52" t="s">
        <v>4</v>
      </c>
      <c r="D3" s="52" t="s">
        <v>49</v>
      </c>
      <c r="E3" s="52" t="s">
        <v>50</v>
      </c>
      <c r="F3" s="52" t="s">
        <v>51</v>
      </c>
      <c r="G3" s="52" t="s">
        <v>52</v>
      </c>
      <c r="H3" s="52" t="s">
        <v>5</v>
      </c>
    </row>
    <row r="4" spans="1:11" ht="15">
      <c r="A4" s="51"/>
      <c r="B4" s="51"/>
      <c r="C4" s="51"/>
      <c r="D4" s="51"/>
      <c r="E4" s="51"/>
      <c r="F4" s="51"/>
      <c r="G4" s="51"/>
      <c r="H4" s="51"/>
      <c r="J4" s="51" t="s">
        <v>53</v>
      </c>
      <c r="K4" s="51">
        <v>2</v>
      </c>
    </row>
    <row r="5" spans="1:11" ht="15">
      <c r="A5" s="51"/>
      <c r="B5" s="51"/>
      <c r="C5" s="51"/>
      <c r="D5" s="51"/>
      <c r="E5" s="51"/>
      <c r="F5" s="51"/>
      <c r="G5" s="51"/>
      <c r="H5" s="51"/>
      <c r="J5" s="51" t="s">
        <v>54</v>
      </c>
      <c r="K5" s="51">
        <v>3</v>
      </c>
    </row>
    <row r="6" spans="1:11" ht="15">
      <c r="A6" s="51"/>
      <c r="B6" s="51"/>
      <c r="C6" s="51"/>
      <c r="D6" s="51"/>
      <c r="E6" s="51"/>
      <c r="F6" s="51"/>
      <c r="G6" s="51"/>
      <c r="H6" s="51"/>
      <c r="J6" s="51" t="s">
        <v>55</v>
      </c>
      <c r="K6" s="51">
        <v>4</v>
      </c>
    </row>
    <row r="7" spans="1:11" ht="15">
      <c r="A7" s="51"/>
      <c r="B7" s="51"/>
      <c r="C7" s="51"/>
      <c r="D7" s="51"/>
      <c r="E7" s="51"/>
      <c r="F7" s="51"/>
      <c r="G7" s="51"/>
      <c r="H7" s="51"/>
      <c r="J7" s="53"/>
      <c r="K7" s="53"/>
    </row>
    <row r="8" spans="1:8" ht="15">
      <c r="A8" s="51" t="s">
        <v>151</v>
      </c>
      <c r="B8" s="51">
        <v>461</v>
      </c>
      <c r="C8" s="51">
        <v>0.026</v>
      </c>
      <c r="D8" s="51">
        <v>245</v>
      </c>
      <c r="E8" s="51">
        <v>0.15</v>
      </c>
      <c r="F8" s="51">
        <v>0.37</v>
      </c>
      <c r="G8" s="51">
        <f>1947-D8</f>
        <v>1702</v>
      </c>
      <c r="H8" s="51">
        <v>0.822</v>
      </c>
    </row>
    <row r="9" spans="1:8" ht="15">
      <c r="A9" s="51" t="s">
        <v>188</v>
      </c>
      <c r="B9" s="51">
        <v>1290</v>
      </c>
      <c r="C9" s="51">
        <v>0.189</v>
      </c>
      <c r="D9" s="51">
        <v>370</v>
      </c>
      <c r="E9" s="51">
        <v>0.45</v>
      </c>
      <c r="F9" s="51">
        <v>0.5</v>
      </c>
      <c r="G9" s="51">
        <v>4035</v>
      </c>
      <c r="H9" s="51">
        <v>1.188</v>
      </c>
    </row>
    <row r="10" spans="1:8" ht="15">
      <c r="A10" s="87" t="s">
        <v>190</v>
      </c>
      <c r="B10" s="51">
        <v>2872</v>
      </c>
      <c r="C10" s="51">
        <v>0.262</v>
      </c>
      <c r="D10" s="51">
        <v>1056</v>
      </c>
      <c r="E10" s="51">
        <v>0.22</v>
      </c>
      <c r="F10" s="51">
        <v>0.6</v>
      </c>
      <c r="G10" s="51">
        <v>8072</v>
      </c>
      <c r="H10" s="51">
        <v>1.49</v>
      </c>
    </row>
    <row r="11" spans="1:8" ht="15">
      <c r="A11" s="51"/>
      <c r="B11" s="51"/>
      <c r="C11" s="51"/>
      <c r="D11" s="51"/>
      <c r="E11" s="51"/>
      <c r="F11" s="51"/>
      <c r="G11" s="51"/>
      <c r="H11" s="51"/>
    </row>
    <row r="12" spans="1:8" ht="15">
      <c r="A12" s="51"/>
      <c r="B12" s="51"/>
      <c r="C12" s="51"/>
      <c r="D12" s="51"/>
      <c r="E12" s="51"/>
      <c r="F12" s="51"/>
      <c r="G12" s="51"/>
      <c r="H12" s="51"/>
    </row>
    <row r="13" spans="1:8" ht="15">
      <c r="A13" s="51"/>
      <c r="B13" s="51"/>
      <c r="C13" s="51"/>
      <c r="D13" s="51"/>
      <c r="E13" s="51"/>
      <c r="F13" s="51"/>
      <c r="G13" s="51"/>
      <c r="H13" s="51"/>
    </row>
    <row r="14" spans="1:8" ht="15">
      <c r="A14" s="53"/>
      <c r="B14" s="53"/>
      <c r="C14" s="53"/>
      <c r="D14" s="53"/>
      <c r="E14" s="53"/>
      <c r="F14" s="53"/>
      <c r="G14" s="53"/>
      <c r="H14" s="53"/>
    </row>
    <row r="15" spans="1:8" ht="15">
      <c r="A15" s="53"/>
      <c r="B15" s="53"/>
      <c r="C15" s="53"/>
      <c r="D15" s="53"/>
      <c r="E15" s="53"/>
      <c r="F15" s="53"/>
      <c r="G15" s="53"/>
      <c r="H15" s="53"/>
    </row>
    <row r="16" spans="1:8" ht="15">
      <c r="A16" s="53"/>
      <c r="B16" s="53"/>
      <c r="C16" s="53"/>
      <c r="D16" s="53"/>
      <c r="E16" s="53"/>
      <c r="F16" s="53"/>
      <c r="G16" s="53"/>
      <c r="H16" s="53"/>
    </row>
    <row r="17" spans="1:8" ht="15">
      <c r="A17" s="54" t="s">
        <v>6</v>
      </c>
      <c r="E17" s="53"/>
      <c r="F17" s="53"/>
      <c r="G17" s="53"/>
      <c r="H17" s="53"/>
    </row>
    <row r="18" spans="1:8" ht="15">
      <c r="A18" s="51"/>
      <c r="B18" s="51" t="s">
        <v>53</v>
      </c>
      <c r="C18" s="51" t="s">
        <v>54</v>
      </c>
      <c r="D18" s="51" t="s">
        <v>55</v>
      </c>
      <c r="E18" s="53"/>
      <c r="F18" s="53"/>
      <c r="G18" s="53"/>
      <c r="H18" s="53"/>
    </row>
    <row r="19" spans="1:8" ht="15">
      <c r="A19" s="51"/>
      <c r="B19" s="51"/>
      <c r="C19" s="51"/>
      <c r="D19" s="51"/>
      <c r="E19" s="53"/>
      <c r="F19" s="53"/>
      <c r="G19" s="53"/>
      <c r="H19" s="53"/>
    </row>
    <row r="20" spans="1:8" ht="15">
      <c r="A20" s="51"/>
      <c r="B20" s="51"/>
      <c r="C20" s="51"/>
      <c r="D20" s="51"/>
      <c r="E20" s="53"/>
      <c r="F20" s="53"/>
      <c r="G20" s="53"/>
      <c r="H20" s="53"/>
    </row>
    <row r="21" spans="1:8" ht="13.5" customHeight="1">
      <c r="A21" s="51"/>
      <c r="B21" s="51"/>
      <c r="C21" s="51"/>
      <c r="D21" s="51"/>
      <c r="E21" s="53"/>
      <c r="F21" s="53"/>
      <c r="G21" s="53"/>
      <c r="H21" s="53"/>
    </row>
    <row r="22" spans="1:5" ht="13.5" customHeight="1">
      <c r="A22" s="51"/>
      <c r="B22" s="51"/>
      <c r="C22" s="51"/>
      <c r="D22" s="51"/>
      <c r="E22" s="53"/>
    </row>
    <row r="23" spans="1:5" ht="13.5" customHeight="1">
      <c r="A23" s="51" t="s">
        <v>127</v>
      </c>
      <c r="B23" s="51">
        <v>2.805</v>
      </c>
      <c r="C23" s="51"/>
      <c r="D23" s="51">
        <v>2.205</v>
      </c>
      <c r="E23" s="53"/>
    </row>
    <row r="24" spans="1:5" ht="13.5" customHeight="1">
      <c r="A24" s="51" t="s">
        <v>188</v>
      </c>
      <c r="B24" s="51">
        <v>3.38</v>
      </c>
      <c r="C24" s="51"/>
      <c r="D24" s="51">
        <v>2.95</v>
      </c>
      <c r="E24" s="53"/>
    </row>
    <row r="25" spans="1:5" ht="15">
      <c r="A25" s="87" t="s">
        <v>190</v>
      </c>
      <c r="B25" s="51">
        <v>4.26</v>
      </c>
      <c r="C25" s="51"/>
      <c r="D25" s="51">
        <v>3.77</v>
      </c>
      <c r="E25" s="53"/>
    </row>
    <row r="26" spans="1:5" ht="15">
      <c r="A26" s="51"/>
      <c r="B26" s="51"/>
      <c r="C26" s="51"/>
      <c r="D26" s="51"/>
      <c r="E26" s="53"/>
    </row>
    <row r="27" spans="1:5" ht="15">
      <c r="A27" s="51"/>
      <c r="B27" s="51"/>
      <c r="C27" s="51"/>
      <c r="D27" s="51"/>
      <c r="E27" s="53"/>
    </row>
    <row r="28" spans="1:5" ht="15">
      <c r="A28" s="51"/>
      <c r="B28" s="51"/>
      <c r="C28" s="51"/>
      <c r="D28" s="51"/>
      <c r="E28" s="53"/>
    </row>
    <row r="29" spans="1:5" ht="15">
      <c r="A29" s="53"/>
      <c r="B29" s="53"/>
      <c r="C29" s="53"/>
      <c r="D29" s="53"/>
      <c r="E29" s="53"/>
    </row>
    <row r="30" spans="1:5" ht="15">
      <c r="A30" s="54" t="s">
        <v>7</v>
      </c>
      <c r="E30" s="53"/>
    </row>
    <row r="31" spans="1:5" ht="15">
      <c r="A31" s="51"/>
      <c r="B31" s="51" t="s">
        <v>53</v>
      </c>
      <c r="C31" s="51" t="s">
        <v>54</v>
      </c>
      <c r="D31" s="51" t="s">
        <v>55</v>
      </c>
      <c r="E31" s="53"/>
    </row>
    <row r="32" spans="1:5" ht="15">
      <c r="A32" s="51"/>
      <c r="B32" s="51"/>
      <c r="C32" s="51"/>
      <c r="D32" s="51"/>
      <c r="E32" s="53"/>
    </row>
    <row r="33" spans="1:5" ht="15">
      <c r="A33" s="51"/>
      <c r="B33" s="51"/>
      <c r="C33" s="51"/>
      <c r="D33" s="51"/>
      <c r="E33" s="53"/>
    </row>
    <row r="34" spans="1:5" ht="15">
      <c r="A34" s="51"/>
      <c r="B34" s="51"/>
      <c r="C34" s="51"/>
      <c r="D34" s="51"/>
      <c r="E34" s="53"/>
    </row>
    <row r="35" spans="1:5" ht="15">
      <c r="A35" s="51"/>
      <c r="B35" s="51"/>
      <c r="C35" s="51"/>
      <c r="D35" s="51"/>
      <c r="E35" s="53"/>
    </row>
    <row r="36" spans="1:5" ht="15">
      <c r="A36" s="51" t="s">
        <v>128</v>
      </c>
      <c r="B36" s="51">
        <v>4.735</v>
      </c>
      <c r="C36" s="51"/>
      <c r="D36" s="51">
        <v>3.295</v>
      </c>
      <c r="E36" s="53"/>
    </row>
    <row r="37" spans="1:5" ht="15">
      <c r="A37" s="51" t="s">
        <v>188</v>
      </c>
      <c r="B37" s="51">
        <v>5.88</v>
      </c>
      <c r="C37" s="51"/>
      <c r="D37" s="51">
        <v>4.9</v>
      </c>
      <c r="E37" s="53"/>
    </row>
    <row r="38" spans="1:5" ht="15">
      <c r="A38" s="87" t="s">
        <v>190</v>
      </c>
      <c r="B38" s="51">
        <v>6.85</v>
      </c>
      <c r="C38" s="51"/>
      <c r="D38" s="51">
        <v>5.73</v>
      </c>
      <c r="E38" s="53"/>
    </row>
    <row r="39" spans="1:5" ht="15">
      <c r="A39" s="51"/>
      <c r="B39" s="51"/>
      <c r="C39" s="51"/>
      <c r="D39" s="51"/>
      <c r="E39" s="53"/>
    </row>
    <row r="40" spans="1:5" ht="15">
      <c r="A40" s="51"/>
      <c r="B40" s="51"/>
      <c r="C40" s="51"/>
      <c r="D40" s="51"/>
      <c r="E40" s="53"/>
    </row>
    <row r="41" spans="1:5" ht="15">
      <c r="A41" s="51"/>
      <c r="B41" s="51"/>
      <c r="C41" s="51"/>
      <c r="D41" s="51"/>
      <c r="E41" s="53"/>
    </row>
    <row r="42" spans="1:5" ht="15">
      <c r="A42" s="55"/>
      <c r="B42" s="55"/>
      <c r="C42" s="55"/>
      <c r="D42" s="55"/>
      <c r="E42" s="53"/>
    </row>
    <row r="43" spans="1:9" ht="15">
      <c r="A43" s="53" t="s">
        <v>56</v>
      </c>
      <c r="B43" s="53"/>
      <c r="C43" s="53"/>
      <c r="F43" s="53" t="s">
        <v>57</v>
      </c>
      <c r="G43" s="53"/>
      <c r="H43" s="53"/>
      <c r="I43" s="53"/>
    </row>
    <row r="44" spans="1:9" ht="15">
      <c r="A44" s="51"/>
      <c r="B44" s="51" t="s">
        <v>53</v>
      </c>
      <c r="C44" s="51" t="s">
        <v>54</v>
      </c>
      <c r="D44" s="51" t="s">
        <v>55</v>
      </c>
      <c r="F44" s="51"/>
      <c r="G44" s="51" t="s">
        <v>53</v>
      </c>
      <c r="H44" s="51" t="s">
        <v>54</v>
      </c>
      <c r="I44" s="51" t="s">
        <v>55</v>
      </c>
    </row>
    <row r="45" spans="1:9" ht="15">
      <c r="A45" s="51"/>
      <c r="B45" s="51"/>
      <c r="C45" s="51"/>
      <c r="D45" s="51"/>
      <c r="F45" s="51"/>
      <c r="G45" s="51"/>
      <c r="H45" s="51"/>
      <c r="I45" s="51"/>
    </row>
    <row r="46" spans="1:9" ht="15">
      <c r="A46" s="51"/>
      <c r="B46" s="51"/>
      <c r="C46" s="51"/>
      <c r="D46" s="51"/>
      <c r="F46" s="51"/>
      <c r="G46" s="51"/>
      <c r="H46" s="51"/>
      <c r="I46" s="51"/>
    </row>
    <row r="47" spans="1:9" ht="15">
      <c r="A47" s="51"/>
      <c r="B47" s="51"/>
      <c r="C47" s="51"/>
      <c r="D47" s="51"/>
      <c r="F47" s="51"/>
      <c r="G47" s="51"/>
      <c r="H47" s="51"/>
      <c r="I47" s="51"/>
    </row>
    <row r="48" spans="1:9" ht="15">
      <c r="A48" s="51"/>
      <c r="B48" s="51"/>
      <c r="C48" s="51"/>
      <c r="D48" s="51"/>
      <c r="F48" s="51"/>
      <c r="G48" s="51"/>
      <c r="H48" s="51"/>
      <c r="I48" s="51"/>
    </row>
    <row r="49" spans="1:9" ht="15">
      <c r="A49" s="51" t="s">
        <v>127</v>
      </c>
      <c r="B49" s="51">
        <v>3.85</v>
      </c>
      <c r="C49" s="51"/>
      <c r="D49" s="51">
        <v>2.165</v>
      </c>
      <c r="F49" s="51" t="s">
        <v>129</v>
      </c>
      <c r="G49" s="51">
        <v>4.57</v>
      </c>
      <c r="H49" s="51"/>
      <c r="I49" s="51">
        <v>2.505</v>
      </c>
    </row>
    <row r="50" spans="1:9" ht="15">
      <c r="A50" s="51" t="s">
        <v>188</v>
      </c>
      <c r="B50" s="51">
        <v>5.7</v>
      </c>
      <c r="C50" s="51"/>
      <c r="D50" s="51">
        <v>4.4</v>
      </c>
      <c r="F50" s="51" t="s">
        <v>188</v>
      </c>
      <c r="G50" s="51">
        <v>5.95</v>
      </c>
      <c r="H50" s="51"/>
      <c r="I50" s="51">
        <v>4.48</v>
      </c>
    </row>
    <row r="51" spans="1:9" ht="15">
      <c r="A51" s="87" t="s">
        <v>190</v>
      </c>
      <c r="B51" s="51">
        <v>7.1</v>
      </c>
      <c r="C51" s="51"/>
      <c r="D51" s="51">
        <v>5.39</v>
      </c>
      <c r="F51" s="87" t="s">
        <v>190</v>
      </c>
      <c r="G51" s="51">
        <v>6.97</v>
      </c>
      <c r="H51" s="51"/>
      <c r="I51" s="51">
        <v>5.16</v>
      </c>
    </row>
    <row r="52" spans="1:9" ht="15">
      <c r="A52" s="51"/>
      <c r="B52" s="51"/>
      <c r="C52" s="51"/>
      <c r="D52" s="51"/>
      <c r="F52" s="51"/>
      <c r="G52" s="51"/>
      <c r="H52" s="51"/>
      <c r="I52" s="51"/>
    </row>
    <row r="53" spans="1:9" ht="15">
      <c r="A53" s="51"/>
      <c r="B53" s="51"/>
      <c r="C53" s="51"/>
      <c r="D53" s="51"/>
      <c r="F53" s="51"/>
      <c r="G53" s="51"/>
      <c r="H53" s="51"/>
      <c r="I53" s="51"/>
    </row>
    <row r="54" spans="1:9" ht="15">
      <c r="A54" s="51"/>
      <c r="B54" s="51"/>
      <c r="C54" s="51"/>
      <c r="D54" s="51"/>
      <c r="F54" s="51"/>
      <c r="G54" s="51"/>
      <c r="H54" s="51"/>
      <c r="I54" s="51"/>
    </row>
    <row r="55" ht="15"/>
    <row r="56" ht="15">
      <c r="A56" s="54" t="s">
        <v>1</v>
      </c>
    </row>
    <row r="57" spans="1:6" ht="15">
      <c r="A57" s="51"/>
      <c r="B57" s="51">
        <v>1</v>
      </c>
      <c r="C57" s="51">
        <v>2</v>
      </c>
      <c r="D57" s="51">
        <v>3</v>
      </c>
      <c r="E57" s="51">
        <v>4</v>
      </c>
      <c r="F57" s="51">
        <v>5</v>
      </c>
    </row>
    <row r="58" spans="1:6" ht="15">
      <c r="A58" s="51"/>
      <c r="B58" s="51"/>
      <c r="C58" s="51"/>
      <c r="D58" s="51"/>
      <c r="E58" s="51"/>
      <c r="F58" s="51"/>
    </row>
    <row r="59" spans="1:6" ht="15">
      <c r="A59" s="51"/>
      <c r="B59" s="51"/>
      <c r="C59" s="51"/>
      <c r="D59" s="51"/>
      <c r="E59" s="51"/>
      <c r="F59" s="51"/>
    </row>
    <row r="60" spans="1:6" ht="15">
      <c r="A60" s="51"/>
      <c r="B60" s="51"/>
      <c r="C60" s="51"/>
      <c r="D60" s="51"/>
      <c r="E60" s="51"/>
      <c r="F60" s="51"/>
    </row>
    <row r="61" spans="1:6" ht="15">
      <c r="A61" s="51"/>
      <c r="B61" s="51"/>
      <c r="C61" s="51"/>
      <c r="D61" s="51"/>
      <c r="E61" s="51"/>
      <c r="F61" s="51"/>
    </row>
    <row r="62" spans="1:6" ht="15">
      <c r="A62" s="51" t="s">
        <v>130</v>
      </c>
      <c r="B62" s="51">
        <v>2.82</v>
      </c>
      <c r="C62" s="51">
        <v>4.44</v>
      </c>
      <c r="D62" s="51">
        <v>6.02</v>
      </c>
      <c r="E62" s="51">
        <v>7.6</v>
      </c>
      <c r="F62" s="51">
        <v>9.18</v>
      </c>
    </row>
    <row r="63" spans="1:6" ht="15">
      <c r="A63" s="51" t="s">
        <v>188</v>
      </c>
      <c r="B63" s="51">
        <v>4.46</v>
      </c>
      <c r="C63" s="51">
        <v>7.64</v>
      </c>
      <c r="D63" s="51">
        <v>10.64</v>
      </c>
      <c r="E63" s="51">
        <v>13.64</v>
      </c>
      <c r="F63" s="51">
        <v>16.64</v>
      </c>
    </row>
    <row r="64" spans="1:6" ht="15">
      <c r="A64" s="87" t="s">
        <v>190</v>
      </c>
      <c r="B64" s="51">
        <v>6</v>
      </c>
      <c r="C64" s="51">
        <v>9.4</v>
      </c>
      <c r="D64" s="51">
        <v>12.8</v>
      </c>
      <c r="E64" s="51">
        <v>16.2</v>
      </c>
      <c r="F64" s="51">
        <v>19.6</v>
      </c>
    </row>
    <row r="65" spans="1:6" ht="15">
      <c r="A65" s="51"/>
      <c r="B65" s="51"/>
      <c r="C65" s="51"/>
      <c r="D65" s="51"/>
      <c r="E65" s="51"/>
      <c r="F65" s="51"/>
    </row>
    <row r="66" spans="1:6" ht="15">
      <c r="A66" s="51"/>
      <c r="B66" s="51"/>
      <c r="C66" s="51"/>
      <c r="D66" s="51"/>
      <c r="E66" s="51"/>
      <c r="F66" s="51"/>
    </row>
    <row r="67" spans="1:6" ht="15">
      <c r="A67" s="51"/>
      <c r="B67" s="51"/>
      <c r="C67" s="51"/>
      <c r="D67" s="51"/>
      <c r="E67" s="51"/>
      <c r="F67" s="51"/>
    </row>
    <row r="68" spans="1:6" ht="15">
      <c r="A68" s="53"/>
      <c r="B68" s="53"/>
      <c r="C68" s="53"/>
      <c r="D68" s="53"/>
      <c r="E68" s="53"/>
      <c r="F68" s="53"/>
    </row>
    <row r="69" spans="1:6" ht="15">
      <c r="A69" s="53" t="s">
        <v>58</v>
      </c>
      <c r="B69" s="53"/>
      <c r="C69" s="53"/>
      <c r="D69" s="53"/>
      <c r="E69" s="53"/>
      <c r="F69" s="53"/>
    </row>
    <row r="70" spans="1:6" ht="15">
      <c r="A70" s="51"/>
      <c r="B70" s="51">
        <v>1</v>
      </c>
      <c r="C70" s="51">
        <v>2</v>
      </c>
      <c r="D70" s="51">
        <v>3</v>
      </c>
      <c r="E70" s="51">
        <v>4</v>
      </c>
      <c r="F70" s="51">
        <v>5</v>
      </c>
    </row>
    <row r="71" spans="1:6" ht="15">
      <c r="A71" s="51"/>
      <c r="B71" s="51"/>
      <c r="C71" s="51"/>
      <c r="D71" s="51"/>
      <c r="E71" s="51"/>
      <c r="F71" s="51"/>
    </row>
    <row r="72" spans="1:6" ht="15">
      <c r="A72" s="51"/>
      <c r="B72" s="56"/>
      <c r="C72" s="56"/>
      <c r="D72" s="56"/>
      <c r="E72" s="56"/>
      <c r="F72" s="51"/>
    </row>
    <row r="73" spans="1:6" ht="15">
      <c r="A73" s="51"/>
      <c r="B73" s="51"/>
      <c r="C73" s="51"/>
      <c r="D73" s="51"/>
      <c r="E73" s="51"/>
      <c r="F73" s="51"/>
    </row>
    <row r="74" spans="1:6" ht="15">
      <c r="A74" s="51"/>
      <c r="B74" s="51"/>
      <c r="C74" s="51"/>
      <c r="D74" s="51"/>
      <c r="E74" s="51"/>
      <c r="F74" s="51"/>
    </row>
    <row r="75" spans="1:6" ht="15">
      <c r="A75" s="51" t="s">
        <v>127</v>
      </c>
      <c r="B75" s="51">
        <v>1.487</v>
      </c>
      <c r="C75" s="51">
        <v>2.515</v>
      </c>
      <c r="D75" s="51">
        <v>2.91</v>
      </c>
      <c r="E75" s="51">
        <v>3.32</v>
      </c>
      <c r="F75" s="51">
        <v>3.798</v>
      </c>
    </row>
    <row r="76" spans="1:6" ht="15">
      <c r="A76" s="51" t="s">
        <v>188</v>
      </c>
      <c r="B76" s="51">
        <v>2.215</v>
      </c>
      <c r="C76" s="51">
        <v>3.975</v>
      </c>
      <c r="D76" s="51">
        <v>4.675</v>
      </c>
      <c r="E76" s="51">
        <v>5.275</v>
      </c>
      <c r="F76" s="51">
        <v>6.054</v>
      </c>
    </row>
    <row r="77" spans="1:6" ht="15">
      <c r="A77" s="87" t="s">
        <v>190</v>
      </c>
      <c r="B77" s="56">
        <v>2.4</v>
      </c>
      <c r="C77" s="56">
        <v>5.26</v>
      </c>
      <c r="D77" s="56">
        <v>6.65</v>
      </c>
      <c r="E77" s="56">
        <v>7.45</v>
      </c>
      <c r="F77" s="56">
        <v>7.85</v>
      </c>
    </row>
    <row r="78" spans="1:6" ht="15" hidden="1">
      <c r="A78" s="51"/>
      <c r="B78" s="56"/>
      <c r="C78" s="56"/>
      <c r="D78" s="56"/>
      <c r="E78" s="56"/>
      <c r="F78" s="56"/>
    </row>
    <row r="79" spans="1:6" ht="15" hidden="1">
      <c r="A79" s="51"/>
      <c r="B79" s="51"/>
      <c r="C79" s="51"/>
      <c r="D79" s="51"/>
      <c r="E79" s="51"/>
      <c r="F79" s="51"/>
    </row>
    <row r="80" spans="1:6" ht="15" hidden="1">
      <c r="A80" s="51"/>
      <c r="B80" s="51"/>
      <c r="C80" s="51"/>
      <c r="D80" s="51"/>
      <c r="E80" s="51"/>
      <c r="F80" s="51"/>
    </row>
    <row r="81" spans="1:7" ht="15">
      <c r="A81" s="53"/>
      <c r="B81" s="53"/>
      <c r="C81" s="53"/>
      <c r="D81" s="53"/>
      <c r="E81" s="53"/>
      <c r="F81" s="53"/>
      <c r="G81" s="53"/>
    </row>
    <row r="82" spans="1:7" ht="15">
      <c r="A82" s="53"/>
      <c r="B82" s="53"/>
      <c r="C82" s="53"/>
      <c r="D82" s="53"/>
      <c r="E82" s="53"/>
      <c r="F82" s="53"/>
      <c r="G82" s="53"/>
    </row>
    <row r="83" spans="4:7" ht="15">
      <c r="D83" s="53"/>
      <c r="E83" s="53"/>
      <c r="F83" s="53"/>
      <c r="G83" s="53"/>
    </row>
    <row r="84" ht="15">
      <c r="D84" s="53"/>
    </row>
    <row r="85" ht="15">
      <c r="D85" s="53"/>
    </row>
    <row r="86" ht="15">
      <c r="D86" s="53"/>
    </row>
    <row r="87" ht="15"/>
    <row r="88" ht="15"/>
  </sheetData>
  <sheetProtection password="A706" sheet="1" formatCells="0" formatColumns="0" formatRows="0" insertColumns="0" insertRows="0" insertHyperlinks="0" deleteColumns="0" deleteRows="0" sort="0" autoFilter="0" pivotTables="0"/>
  <printOptions/>
  <pageMargins left="0.75" right="0.75" top="1" bottom="1" header="0.512" footer="0.51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3:AI50"/>
  <sheetViews>
    <sheetView zoomScaleSheetLayoutView="100" zoomScalePageLayoutView="0" workbookViewId="0" topLeftCell="A1">
      <selection activeCell="P22" sqref="P22"/>
    </sheetView>
  </sheetViews>
  <sheetFormatPr defaultColWidth="9.00390625" defaultRowHeight="13.5"/>
  <cols>
    <col min="1" max="12" width="7.625" style="2" customWidth="1"/>
    <col min="13" max="13" width="2.625" style="2" customWidth="1"/>
    <col min="14" max="14" width="4.25390625" style="2" customWidth="1"/>
    <col min="15" max="15" width="9.125" style="2" customWidth="1"/>
    <col min="16" max="17" width="7.375" style="2" customWidth="1"/>
    <col min="18" max="19" width="9.00390625" style="2" customWidth="1"/>
    <col min="20" max="20" width="9.25390625" style="2" customWidth="1"/>
    <col min="21" max="21" width="9.00390625" style="2" customWidth="1"/>
    <col min="22" max="22" width="5.625" style="2" customWidth="1"/>
    <col min="23" max="23" width="4.375" style="2" customWidth="1"/>
    <col min="24" max="25" width="9.00390625" style="2" customWidth="1"/>
    <col min="26" max="26" width="5.625" style="2" customWidth="1"/>
    <col min="27" max="27" width="5.25390625" style="2" customWidth="1"/>
    <col min="28" max="30" width="9.00390625" style="2" customWidth="1"/>
    <col min="31" max="31" width="5.625" style="2" customWidth="1"/>
    <col min="32" max="32" width="4.375" style="2" customWidth="1"/>
    <col min="33" max="16384" width="9.00390625" style="2" customWidth="1"/>
  </cols>
  <sheetData>
    <row r="1" ht="18" customHeight="1"/>
    <row r="2" ht="18" customHeight="1"/>
    <row r="3" spans="2:34" ht="18" customHeight="1">
      <c r="B3" s="2" t="s">
        <v>152</v>
      </c>
      <c r="E3" s="2">
        <f>('条件'!$H$22*'条件'!$G$16+'条件'!$G$4*'条件'!$G$17+'条件'!$G$7)</f>
        <v>10465.2</v>
      </c>
      <c r="K3" s="57"/>
      <c r="O3" s="58" t="s">
        <v>124</v>
      </c>
      <c r="X3" s="59"/>
      <c r="AB3" s="58" t="s">
        <v>125</v>
      </c>
      <c r="AC3" s="59"/>
      <c r="AG3" s="58" t="s">
        <v>126</v>
      </c>
      <c r="AH3" s="59"/>
    </row>
    <row r="4" spans="14:35" ht="18" customHeight="1" thickBot="1">
      <c r="N4" s="60" t="s">
        <v>59</v>
      </c>
      <c r="O4" s="61" t="s">
        <v>60</v>
      </c>
      <c r="P4" s="62" t="s">
        <v>61</v>
      </c>
      <c r="Q4" s="62" t="s">
        <v>62</v>
      </c>
      <c r="R4" s="62" t="s">
        <v>46</v>
      </c>
      <c r="S4" s="61" t="s">
        <v>111</v>
      </c>
      <c r="T4" s="62" t="s">
        <v>112</v>
      </c>
      <c r="U4" s="62" t="s">
        <v>113</v>
      </c>
      <c r="V4" s="27"/>
      <c r="W4" s="60" t="s">
        <v>59</v>
      </c>
      <c r="X4" s="63" t="s">
        <v>63</v>
      </c>
      <c r="Y4" s="62" t="s">
        <v>64</v>
      </c>
      <c r="AA4" s="60" t="s">
        <v>59</v>
      </c>
      <c r="AB4" s="64" t="s">
        <v>46</v>
      </c>
      <c r="AC4" s="62" t="s">
        <v>111</v>
      </c>
      <c r="AD4" s="62" t="s">
        <v>112</v>
      </c>
      <c r="AF4" s="60" t="s">
        <v>59</v>
      </c>
      <c r="AG4" s="64" t="s">
        <v>153</v>
      </c>
      <c r="AH4" s="62" t="s">
        <v>111</v>
      </c>
      <c r="AI4" s="62" t="s">
        <v>113</v>
      </c>
    </row>
    <row r="5" spans="2:35" ht="18" customHeight="1" thickTop="1">
      <c r="B5" s="14" t="s">
        <v>154</v>
      </c>
      <c r="E5" s="2">
        <f>ATAN('条件'!$G$6/'条件'!$G$3)/PI()*180</f>
        <v>2.50032732313454</v>
      </c>
      <c r="N5" s="16">
        <v>0</v>
      </c>
      <c r="O5" s="65">
        <f>('条件'!$G$9*('条件'!$G$10-'条件'!$G$11+'条件'!$G$12/2)+$E$3*($B$12*COS($N5*PI()/180)-'条件'!$G$11+'条件'!$G$12/2))/(2*'条件'!$G$12)</f>
        <v>1031.9104021995583</v>
      </c>
      <c r="P5" s="66">
        <f>($E$3*$B$12*SIN($N5*PI()/180))/('条件'!$G$13+'条件'!$G$14)</f>
        <v>0</v>
      </c>
      <c r="Q5" s="66">
        <f>P5*(('条件'!$G$14-'条件'!$G$13)/('条件'!$G$14+'条件'!$G$13))/2</f>
        <v>0</v>
      </c>
      <c r="R5" s="66">
        <f>$E$16-$O5+$P5*2*('条件'!$G$13/('条件'!$G$14+'条件'!$G$13))-Q5</f>
        <v>3602.389597800442</v>
      </c>
      <c r="S5" s="65">
        <f>$E$16+$O5+$P5*2*('条件'!$G$14/('条件'!$G$14+'条件'!$G$13))+Q5</f>
        <v>5666.210402199558</v>
      </c>
      <c r="T5" s="66">
        <f>$E$16+$O5-$P5*2*('条件'!$G$14/('条件'!$G$14+'条件'!$G$13))+Q5</f>
        <v>5666.210402199558</v>
      </c>
      <c r="U5" s="66">
        <f>$E$16-$O5-$P5*2*('条件'!$G$13/('条件'!$G$14+'条件'!$G$13))-Q5</f>
        <v>3602.389597800442</v>
      </c>
      <c r="V5" s="65"/>
      <c r="W5" s="16">
        <v>0</v>
      </c>
      <c r="X5" s="67">
        <f>'条件'!$G$11-($E$3*$B$12*COS($W5*PI()/180))/($E$3+'条件'!$G$9)-'条件'!$G$9*'条件'!$G$10/($E$3+'条件'!$G$9)</f>
        <v>2.6623620336332374</v>
      </c>
      <c r="Y5" s="66">
        <f>($E$3*$B$12*SIN($W5*PI()/180))/($E$3+'条件'!$G$9)</f>
        <v>0</v>
      </c>
      <c r="AA5" s="16">
        <v>0</v>
      </c>
      <c r="AB5" s="68">
        <f>($X5*($E$3+'条件'!$G$9))/'条件'!$G$12</f>
        <v>7204.779195600883</v>
      </c>
      <c r="AC5" s="69">
        <f>$E$3+'条件'!$G$9-$AB5-$AD5</f>
        <v>2131.0102803982627</v>
      </c>
      <c r="AD5" s="66">
        <f>(('条件'!$G$14/2-$Y5)*($E$3+'条件'!$G$9)+AB5*('条件'!$G$14-'条件'!$G$13)/2)/'条件'!$G$14</f>
        <v>9201.410524000854</v>
      </c>
      <c r="AF5" s="16">
        <v>0</v>
      </c>
      <c r="AG5" s="68">
        <f>$E$3+'条件'!$G$9-$AH5-$AI5</f>
        <v>-1960.0732899926443</v>
      </c>
      <c r="AH5" s="69">
        <f>('条件'!$G$12-$X5)*($E$3+'条件'!$G$9)/'条件'!$G$12</f>
        <v>11332.420804399117</v>
      </c>
      <c r="AI5" s="69">
        <f>(('条件'!$G$13/2-$Y5)*($E$3+'条件'!$G$9)-AH5*('条件'!$G$13-'条件'!$G$14)/2)/'条件'!$G$13</f>
        <v>9164.852485593528</v>
      </c>
    </row>
    <row r="6" spans="2:35" ht="18" customHeight="1">
      <c r="B6" s="14" t="s">
        <v>155</v>
      </c>
      <c r="E6" s="70">
        <f>SQRT('条件'!$G$3^2+'条件'!$G$6^2)</f>
        <v>6.005717609078868</v>
      </c>
      <c r="N6" s="16">
        <v>5</v>
      </c>
      <c r="O6" s="65">
        <f>('条件'!$G$9*('条件'!$G$10-'条件'!$G$11+'条件'!$G$12/2)+$E$3*($B$12*COS($N6*PI()/180)-'条件'!$G$11+'条件'!$G$12/2))/(2*'条件'!$G$12)</f>
        <v>1027.025046030897</v>
      </c>
      <c r="P6" s="66">
        <f>($E$3*$B$12*SIN($N6*PI()/180))/('条件'!$G$13+'条件'!$G$14)</f>
        <v>108.95059108842378</v>
      </c>
      <c r="Q6" s="66">
        <f>P6*(('条件'!$G$14-'条件'!$G$13)/('条件'!$G$14+'条件'!$G$13))/2</f>
        <v>-0.5033254030382047</v>
      </c>
      <c r="R6" s="66">
        <f>$E$16-$O6+$P6*2*('条件'!$G$13/('条件'!$G$14+'条件'!$G$13))-Q6</f>
        <v>3717.7355212666416</v>
      </c>
      <c r="S6" s="65">
        <f>$E$16+$O6+$P6*2*('条件'!$G$14/('条件'!$G$14+'条件'!$G$13))+Q6</f>
        <v>5768.765660910206</v>
      </c>
      <c r="T6" s="66">
        <f>$E$16+$O6-$P6*2*('条件'!$G$14/('条件'!$G$14+'条件'!$G$13))+Q6</f>
        <v>5552.877780345511</v>
      </c>
      <c r="U6" s="66">
        <f>$E$16-$O6-$P6*2*('条件'!$G$13/('条件'!$G$14+'条件'!$G$13))-Q6</f>
        <v>3497.821037477641</v>
      </c>
      <c r="V6" s="65"/>
      <c r="W6" s="16">
        <v>5</v>
      </c>
      <c r="X6" s="68">
        <f>'条件'!$G$11-($E$3*$B$12*COS($W6*PI()/180))/($E$3+'条件'!$G$9)-'条件'!$G$9*'条件'!$G$10/($E$3+'条件'!$G$9)</f>
        <v>2.6659725778098475</v>
      </c>
      <c r="Y6" s="66">
        <f>($E$3*$B$12*SIN($W6*PI()/180))/($E$3+'条件'!$G$9)</f>
        <v>0.08269505732333483</v>
      </c>
      <c r="AA6" s="16">
        <v>5</v>
      </c>
      <c r="AB6" s="68">
        <f>($X6*($E$3+'条件'!$G$9))/'条件'!$G$12</f>
        <v>7214.549907938205</v>
      </c>
      <c r="AC6" s="66">
        <f>$E$3+'条件'!$G$9-$AB6-$AD6</f>
        <v>2341.2639458107333</v>
      </c>
      <c r="AD6" s="66">
        <f>(('条件'!$G$14/2-$Y6)*($E$3+'条件'!$G$9)+AB6*('条件'!$G$14-'条件'!$G$13)/2)/'条件'!$G$14</f>
        <v>8981.386146251061</v>
      </c>
      <c r="AF6" s="16">
        <v>5</v>
      </c>
      <c r="AG6" s="68">
        <f>$E$3+'条件'!$G$9-$AH6-$AI6</f>
        <v>-1734.4857156395192</v>
      </c>
      <c r="AH6" s="66">
        <f>('条件'!$G$12-$X6)*($E$3+'条件'!$G$9)/'条件'!$G$12</f>
        <v>11322.650092061793</v>
      </c>
      <c r="AI6" s="66">
        <f>(('条件'!$G$13/2-$Y6)*($E$3+'条件'!$G$9)-AH6*('条件'!$G$13-'条件'!$G$14)/2)/'条件'!$G$13</f>
        <v>8949.035623577727</v>
      </c>
    </row>
    <row r="7" spans="2:35" ht="18" customHeight="1">
      <c r="B7" s="2" t="s">
        <v>156</v>
      </c>
      <c r="E7" s="2">
        <f>ACOS(('条件'!$B$22+'条件'!$G$15)/$E$6)/PI()*180</f>
        <v>58.9239883277305</v>
      </c>
      <c r="N7" s="16">
        <v>10</v>
      </c>
      <c r="O7" s="65">
        <f>('条件'!$G$9*('条件'!$G$10-'条件'!$G$11+'条件'!$G$12/2)+$E$3*($B$12*COS($N7*PI()/180)-'条件'!$G$11+'条件'!$G$12/2))/(2*'条件'!$G$12)</f>
        <v>1012.4061580352158</v>
      </c>
      <c r="P7" s="66">
        <f>($E$3*$B$12*SIN($N7*PI()/180))/('条件'!$G$13+'条件'!$G$14)</f>
        <v>217.07200239249912</v>
      </c>
      <c r="Q7" s="66">
        <f>P7*(('条件'!$G$14-'条件'!$G$13)/('条件'!$G$14+'条件'!$G$13))/2</f>
        <v>-1.0028201958431011</v>
      </c>
      <c r="R7" s="66">
        <f>$E$16-$O7+$P7*2*('条件'!$G$13/('条件'!$G$14+'条件'!$G$13))-Q7</f>
        <v>3841.9743049448125</v>
      </c>
      <c r="S7" s="65">
        <f>$E$16+$O7+$P7*2*('条件'!$G$14/('条件'!$G$14+'条件'!$G$13))+Q7</f>
        <v>5860.769699840185</v>
      </c>
      <c r="T7" s="66">
        <f>$E$16+$O7-$P7*2*('条件'!$G$14/('条件'!$G$14+'条件'!$G$13))+Q7</f>
        <v>5430.63697583856</v>
      </c>
      <c r="U7" s="66">
        <f>$E$16-$O7-$P7*2*('条件'!$G$13/('条件'!$G$14+'条件'!$G$13))-Q7</f>
        <v>3403.819019376442</v>
      </c>
      <c r="V7" s="65"/>
      <c r="W7" s="16">
        <v>10</v>
      </c>
      <c r="X7" s="68">
        <f>'条件'!$G$11-($E$3*$B$12*COS($W7*PI()/180))/($E$3+'条件'!$G$9)-'条件'!$G$9*'条件'!$G$10/($E$3+'条件'!$G$9)</f>
        <v>2.6767767319183884</v>
      </c>
      <c r="Y7" s="66">
        <f>($E$3*$B$12*SIN($W7*PI()/180))/($E$3+'条件'!$G$9)</f>
        <v>0.16476075532779827</v>
      </c>
      <c r="AA7" s="16">
        <v>10</v>
      </c>
      <c r="AB7" s="68">
        <f>($X7*($E$3+'条件'!$G$9))/'条件'!$G$12</f>
        <v>7243.78768392957</v>
      </c>
      <c r="AC7" s="66">
        <f>$E$3+'条件'!$G$9-$AB7-$AD7</f>
        <v>2530.5582663025507</v>
      </c>
      <c r="AD7" s="66">
        <f>(('条件'!$G$14/2-$Y7)*($E$3+'条件'!$G$9)+AB7*('条件'!$G$14-'条件'!$G$13)/2)/'条件'!$G$14</f>
        <v>8762.854049767879</v>
      </c>
      <c r="AF7" s="16">
        <v>10</v>
      </c>
      <c r="AG7" s="68">
        <f>$E$3+'条件'!$G$9-$AH7-$AI7</f>
        <v>-1491.25247463282</v>
      </c>
      <c r="AH7" s="66">
        <f>('条件'!$G$12-$X7)*($E$3+'条件'!$G$9)/'条件'!$G$12</f>
        <v>11293.412316070431</v>
      </c>
      <c r="AI7" s="66">
        <f>(('条件'!$G$13/2-$Y7)*($E$3+'条件'!$G$9)-AH7*('条件'!$G$13-'条件'!$G$14)/2)/'条件'!$G$13</f>
        <v>8735.04015856239</v>
      </c>
    </row>
    <row r="8" spans="2:35" ht="18" customHeight="1">
      <c r="B8" s="2" t="s">
        <v>65</v>
      </c>
      <c r="E8" s="2">
        <f>$E$7+$E$5</f>
        <v>61.42431565086504</v>
      </c>
      <c r="N8" s="16">
        <v>15</v>
      </c>
      <c r="O8" s="65">
        <f>('条件'!$G$9*('条件'!$G$10-'条件'!$G$11+'条件'!$G$12/2)+$E$3*($B$12*COS($N8*PI()/180)-'条件'!$G$11+'条件'!$G$12/2))/(2*'条件'!$G$12)</f>
        <v>988.1649967772867</v>
      </c>
      <c r="P8" s="66">
        <f>($E$3*$B$12*SIN($N8*PI()/180))/('条件'!$G$13+'条件'!$G$14)</f>
        <v>323.54136468670885</v>
      </c>
      <c r="Q8" s="66">
        <f>P8*(('条件'!$G$14-'条件'!$G$13)/('条件'!$G$14+'条件'!$G$13))/2</f>
        <v>-1.4946829214382416</v>
      </c>
      <c r="R8" s="66">
        <f>$E$16-$O8+$P8*2*('条件'!$G$13/('条件'!$G$14+'条件'!$G$13))-Q8</f>
        <v>3974.1604166737375</v>
      </c>
      <c r="S8" s="65">
        <f>$E$16+$O8+$P8*2*('条件'!$G$14/('条件'!$G$14+'条件'!$G$13))+Q8</f>
        <v>5941.522312699681</v>
      </c>
      <c r="T8" s="66">
        <f>$E$16+$O8-$P8*2*('条件'!$G$14/('条件'!$G$14+'条件'!$G$13))+Q8</f>
        <v>5300.418315012015</v>
      </c>
      <c r="U8" s="66">
        <f>$E$16-$O8-$P8*2*('条件'!$G$13/('条件'!$G$14+'条件'!$G$13))-Q8</f>
        <v>3321.0989556145664</v>
      </c>
      <c r="V8" s="65"/>
      <c r="W8" s="16">
        <v>15</v>
      </c>
      <c r="X8" s="68">
        <f>'条件'!$G$11-($E$3*$B$12*COS($W8*PI()/180))/($E$3+'条件'!$G$9)-'条件'!$G$9*'条件'!$G$10/($E$3+'条件'!$G$9)</f>
        <v>2.6946922698223665</v>
      </c>
      <c r="Y8" s="66">
        <f>($E$3*$B$12*SIN($W8*PI()/180))/($E$3+'条件'!$G$9)</f>
        <v>0.2455725244989531</v>
      </c>
      <c r="AA8" s="16">
        <v>15</v>
      </c>
      <c r="AB8" s="68">
        <f>($X8*($E$3+'条件'!$G$9))/'条件'!$G$12</f>
        <v>7292.2700064454275</v>
      </c>
      <c r="AC8" s="66">
        <f>$E$3+'条件'!$G$9-$AB8-$AD8</f>
        <v>2697.452597795742</v>
      </c>
      <c r="AD8" s="66">
        <f>(('条件'!$G$14/2-$Y8)*($E$3+'条件'!$G$9)+AB8*('条件'!$G$14-'条件'!$G$13)/2)/'条件'!$G$14</f>
        <v>8547.477395758831</v>
      </c>
      <c r="AF8" s="16">
        <v>15</v>
      </c>
      <c r="AG8" s="68">
        <f>$E$3+'条件'!$G$9-$AH8-$AI8</f>
        <v>-1232.2247188048477</v>
      </c>
      <c r="AH8" s="66">
        <f>('条件'!$G$12-$X8)*($E$3+'条件'!$G$9)/'条件'!$G$12</f>
        <v>11244.929993554573</v>
      </c>
      <c r="AI8" s="66">
        <f>(('条件'!$G$13/2-$Y8)*($E$3+'条件'!$G$9)-AH8*('条件'!$G$13-'条件'!$G$14)/2)/'条件'!$G$13</f>
        <v>8524.494725250275</v>
      </c>
    </row>
    <row r="9" spans="14:35" ht="18" customHeight="1">
      <c r="N9" s="16">
        <v>20</v>
      </c>
      <c r="O9" s="65">
        <f>('条件'!$G$9*('条件'!$G$10-'条件'!$G$11+'条件'!$G$12/2)+$E$3*($B$12*COS($N9*PI()/180)-'条件'!$G$11+'条件'!$G$12/2))/(2*'条件'!$G$12)</f>
        <v>954.4860521314969</v>
      </c>
      <c r="P9" s="66">
        <f>($E$3*$B$12*SIN($N9*PI()/180))/('条件'!$G$13+'条件'!$G$14)</f>
        <v>427.5483818360354</v>
      </c>
      <c r="Q9" s="66">
        <f>P9*(('条件'!$G$14-'条件'!$G$13)/('条件'!$G$14+'条件'!$G$13))/2</f>
        <v>-1.9751702074870134</v>
      </c>
      <c r="R9" s="66">
        <f>$E$16-$O9+$P9*2*('条件'!$G$13/('条件'!$G$14+'条件'!$G$13))-Q9</f>
        <v>4113.287840327</v>
      </c>
      <c r="S9" s="65">
        <f>$E$16+$O9+$P9*2*('条件'!$G$14/('条件'!$G$14+'条件'!$G$13))+Q9</f>
        <v>6010.408923345071</v>
      </c>
      <c r="T9" s="66">
        <f>$E$16+$O9-$P9*2*('条件'!$G$14/('条件'!$G$14+'条件'!$G$13))+Q9</f>
        <v>5163.212840502948</v>
      </c>
      <c r="U9" s="66">
        <f>$E$16-$O9-$P9*2*('条件'!$G$13/('条件'!$G$14+'条件'!$G$13))-Q9</f>
        <v>3250.290395824981</v>
      </c>
      <c r="V9" s="65"/>
      <c r="W9" s="16">
        <v>20</v>
      </c>
      <c r="X9" s="68">
        <f>'条件'!$G$11-($E$3*$B$12*COS($W9*PI()/180))/($E$3+'条件'!$G$9)-'条件'!$G$9*'条件'!$G$10/($E$3+'条件'!$G$9)</f>
        <v>2.719582843460636</v>
      </c>
      <c r="Y9" s="66">
        <f>($E$3*$B$12*SIN($W9*PI()/180))/($E$3+'条件'!$G$9)</f>
        <v>0.3245153384779264</v>
      </c>
      <c r="AA9" s="16">
        <v>20</v>
      </c>
      <c r="AB9" s="68">
        <f>($X9*($E$3+'条件'!$G$9))/'条件'!$G$12</f>
        <v>7359.627895737008</v>
      </c>
      <c r="AC9" s="66">
        <f>$E$3+'条件'!$G$9-$AB9-$AD9</f>
        <v>2840.676773654086</v>
      </c>
      <c r="AD9" s="66">
        <f>(('条件'!$G$14/2-$Y9)*($E$3+'条件'!$G$9)+AB9*('条件'!$G$14-'条件'!$G$13)/2)/'条件'!$G$14</f>
        <v>8336.895330608906</v>
      </c>
      <c r="AF9" s="16">
        <v>20</v>
      </c>
      <c r="AG9" s="68">
        <f>$E$3+'条件'!$G$9-$AH9-$AI9</f>
        <v>-959.3738057826959</v>
      </c>
      <c r="AH9" s="66">
        <f>('条件'!$G$12-$X9)*($E$3+'条件'!$G$9)/'条件'!$G$12</f>
        <v>11177.572104262994</v>
      </c>
      <c r="AI9" s="66">
        <f>(('条件'!$G$13/2-$Y9)*($E$3+'条件'!$G$9)-AH9*('条件'!$G$13-'条件'!$G$14)/2)/'条件'!$G$13</f>
        <v>8319.001701519703</v>
      </c>
    </row>
    <row r="10" spans="1:35" ht="18" customHeight="1">
      <c r="A10" s="197" t="s">
        <v>66</v>
      </c>
      <c r="B10" s="14" t="s">
        <v>157</v>
      </c>
      <c r="N10" s="16">
        <v>25</v>
      </c>
      <c r="O10" s="65">
        <f>('条件'!$G$9*('条件'!$G$10-'条件'!$G$11+'条件'!$G$12/2)+$E$3*($B$12*COS($N10*PI()/180)-'条件'!$G$11+'条件'!$G$12/2))/(2*'条件'!$G$12)</f>
        <v>911.6256412025026</v>
      </c>
      <c r="P10" s="66">
        <f>($E$3*$B$12*SIN($N10*PI()/180))/('条件'!$G$13+'条件'!$G$14)</f>
        <v>528.3014976388184</v>
      </c>
      <c r="Q10" s="66">
        <f>P10*(('条件'!$G$14-'条件'!$G$13)/('条件'!$G$14+'条件'!$G$13))/2</f>
        <v>-2.44062525561643</v>
      </c>
      <c r="R10" s="66">
        <f>$E$16-$O10+$P10*2*('条件'!$G$13/('条件'!$G$14+'条件'!$G$13))-Q10</f>
        <v>4258.297732203166</v>
      </c>
      <c r="S10" s="65">
        <f>$E$16+$O10+$P10*2*('条件'!$G$14/('条件'!$G$14+'条件'!$G$13))+Q10</f>
        <v>6066.905263074472</v>
      </c>
      <c r="T10" s="66">
        <f>$E$16+$O10-$P10*2*('条件'!$G$14/('条件'!$G$14+'条件'!$G$13))+Q10</f>
        <v>5020.0647688193</v>
      </c>
      <c r="U10" s="66">
        <f>$E$16-$O10-$P10*2*('条件'!$G$13/('条件'!$G$14+'条件'!$G$13))-Q10</f>
        <v>3191.9322359030625</v>
      </c>
      <c r="V10" s="65"/>
      <c r="W10" s="16">
        <v>25</v>
      </c>
      <c r="X10" s="68">
        <f>'条件'!$G$11-($E$3*$B$12*COS($W10*PI()/180))/($E$3+'条件'!$G$9)-'条件'!$G$9*'条件'!$G$10/($E$3+'条件'!$G$9)</f>
        <v>2.7512590205384693</v>
      </c>
      <c r="Y10" s="66">
        <f>($E$3*$B$12*SIN($W10*PI()/180))/($E$3+'条件'!$G$9)</f>
        <v>0.400988394783364</v>
      </c>
      <c r="AA10" s="16">
        <v>25</v>
      </c>
      <c r="AB10" s="68">
        <f>($X10*($E$3+'条件'!$G$9))/'条件'!$G$12</f>
        <v>7445.348717594996</v>
      </c>
      <c r="AC10" s="66">
        <f>$E$3+'条件'!$G$9-$AB10-$AD10</f>
        <v>2959.1407714181832</v>
      </c>
      <c r="AD10" s="66">
        <f>(('条件'!$G$14/2-$Y10)*($E$3+'条件'!$G$9)+AB10*('条件'!$G$14-'条件'!$G$13)/2)/'条件'!$G$14</f>
        <v>8132.710510986822</v>
      </c>
      <c r="AF10" s="16">
        <v>25</v>
      </c>
      <c r="AG10" s="68">
        <f>$E$3+'条件'!$G$9-$AH10-$AI10</f>
        <v>-674.7762957663417</v>
      </c>
      <c r="AH10" s="66">
        <f>('条件'!$G$12-$X10)*($E$3+'条件'!$G$9)/'条件'!$G$12</f>
        <v>11091.851282405005</v>
      </c>
      <c r="AI10" s="66">
        <f>(('条件'!$G$13/2-$Y10)*($E$3+'条件'!$G$9)-AH10*('条件'!$G$13-'条件'!$G$14)/2)/'条件'!$G$13</f>
        <v>8120.125013361338</v>
      </c>
    </row>
    <row r="11" spans="1:35" ht="18" customHeight="1">
      <c r="A11" s="197"/>
      <c r="C11" s="2" t="s">
        <v>67</v>
      </c>
      <c r="N11" s="16">
        <v>30</v>
      </c>
      <c r="O11" s="65">
        <f>('条件'!$G$9*('条件'!$G$10-'条件'!$G$11+'条件'!$G$12/2)+$E$3*($B$12*COS($N11*PI()/180)-'条件'!$G$11+'条件'!$G$12/2))/(2*'条件'!$G$12)</f>
        <v>859.9099575972986</v>
      </c>
      <c r="P11" s="66">
        <f>($E$3*$B$12*SIN($N11*PI()/180))/('条件'!$G$13+'条件'!$G$14)</f>
        <v>625.0339200474039</v>
      </c>
      <c r="Q11" s="66">
        <f>P11*(('条件'!$G$14-'条件'!$G$13)/('条件'!$G$14+'条件'!$G$13))/2</f>
        <v>-2.887505671860783</v>
      </c>
      <c r="R11" s="66">
        <f>$E$16-$O11+$P11*2*('条件'!$G$13/('条件'!$G$14+'条件'!$G$13))-Q11</f>
        <v>4408.086479465687</v>
      </c>
      <c r="S11" s="65">
        <f>$E$16+$O11+$P11*2*('条件'!$G$14/('条件'!$G$14+'条件'!$G$13))+Q11</f>
        <v>6110.58136062912</v>
      </c>
      <c r="T11" s="66">
        <f>$E$16+$O11-$P11*2*('条件'!$G$14/('条件'!$G$14+'条件'!$G$13))+Q11</f>
        <v>4872.063543221756</v>
      </c>
      <c r="U11" s="66">
        <f>$E$16-$O11-$P11*2*('条件'!$G$13/('条件'!$G$14+'条件'!$G$13))-Q11</f>
        <v>3146.4686166834367</v>
      </c>
      <c r="V11" s="65"/>
      <c r="W11" s="16">
        <v>30</v>
      </c>
      <c r="X11" s="68">
        <f>'条件'!$G$11-($E$3*$B$12*COS($W11*PI()/180))/($E$3+'条件'!$G$9)-'条件'!$G$9*'条件'!$G$10/($E$3+'条件'!$G$9)</f>
        <v>2.7894797262217064</v>
      </c>
      <c r="Y11" s="66">
        <f>($E$3*$B$12*SIN($W11*PI()/180))/($E$3+'条件'!$G$9)</f>
        <v>0.47440968728108734</v>
      </c>
      <c r="AA11" s="16">
        <v>30</v>
      </c>
      <c r="AB11" s="68">
        <f>($X11*($E$3+'条件'!$G$9))/'条件'!$G$12</f>
        <v>7548.780084805404</v>
      </c>
      <c r="AC11" s="66">
        <f>$E$3+'条件'!$G$9-$AB11-$AD11</f>
        <v>3051.9430085345284</v>
      </c>
      <c r="AD11" s="66">
        <f>(('条件'!$G$14/2-$Y11)*($E$3+'条件'!$G$9)+AB11*('条件'!$G$14-'条件'!$G$13)/2)/'条件'!$G$14</f>
        <v>7936.476906660069</v>
      </c>
      <c r="AF11" s="16">
        <v>30</v>
      </c>
      <c r="AG11" s="68">
        <f>$E$3+'条件'!$G$9-$AH11-$AI11</f>
        <v>-380.59814765168994</v>
      </c>
      <c r="AH11" s="66">
        <f>('条件'!$G$12-$X11)*($E$3+'条件'!$G$9)/'条件'!$G$12</f>
        <v>10988.419915194594</v>
      </c>
      <c r="AI11" s="66">
        <f>(('条件'!$G$13/2-$Y11)*($E$3+'条件'!$G$9)-AH11*('条件'!$G$13-'条件'!$G$14)/2)/'条件'!$G$13</f>
        <v>7929.378232457097</v>
      </c>
    </row>
    <row r="12" spans="1:35" ht="18" customHeight="1">
      <c r="A12" s="13" t="s">
        <v>2</v>
      </c>
      <c r="B12" s="2">
        <f>('条件'!$H$22*'条件'!$G$16*'条件'!$B$22+'条件'!$G$4*'条件'!$G$17*('条件'!$G$5*COS($E$8*PI()/180)-'条件'!$G$15)+'条件'!$G$7*'条件'!$G$8)/$E$3</f>
        <v>1.6806610967906919</v>
      </c>
      <c r="N12" s="16">
        <v>35</v>
      </c>
      <c r="O12" s="65">
        <f>('条件'!$G$9*('条件'!$G$10-'条件'!$G$11+'条件'!$G$12/2)+$E$3*($B$12*COS($N12*PI()/180)-'条件'!$G$11+'条件'!$G$12/2))/(2*'条件'!$G$12)</f>
        <v>799.7325888949028</v>
      </c>
      <c r="P12" s="66">
        <f>($E$3*$B$12*SIN($N12*PI()/180))/('条件'!$G$13+'条件'!$G$14)</f>
        <v>717.0094569186293</v>
      </c>
      <c r="Q12" s="66">
        <f>P12*(('条件'!$G$14-'条件'!$G$13)/('条件'!$G$14+'条件'!$G$13))/2</f>
        <v>-3.312410426418683</v>
      </c>
      <c r="R12" s="66">
        <f>$E$16-$O12+$P12*2*('条件'!$G$13/('条件'!$G$14+'条件'!$G$13))-Q12</f>
        <v>4561.514099302984</v>
      </c>
      <c r="S12" s="65">
        <f>$E$16+$O12+$P12*2*('条件'!$G$14/('条件'!$G$14+'条件'!$G$13))+Q12</f>
        <v>6141.104814534276</v>
      </c>
      <c r="T12" s="66">
        <f>$E$16+$O12-$P12*2*('条件'!$G$14/('条件'!$G$14+'条件'!$G$13))+Q12</f>
        <v>4720.335542402692</v>
      </c>
      <c r="U12" s="66">
        <f>$E$16-$O12-$P12*2*('条件'!$G$13/('条件'!$G$14+'条件'!$G$13))-Q12</f>
        <v>3114.2455437600497</v>
      </c>
      <c r="V12" s="65"/>
      <c r="W12" s="16">
        <v>35</v>
      </c>
      <c r="X12" s="68">
        <f>'条件'!$G$11-($E$3*$B$12*COS($W12*PI()/180))/($E$3+'条件'!$G$9)-'条件'!$G$9*'条件'!$G$10/($E$3+'条件'!$G$9)</f>
        <v>2.833954077861804</v>
      </c>
      <c r="Y12" s="66">
        <f>($E$3*$B$12*SIN($W12*PI()/180))/($E$3+'条件'!$G$9)</f>
        <v>0.5442204356022007</v>
      </c>
      <c r="AA12" s="16">
        <v>35</v>
      </c>
      <c r="AB12" s="68">
        <f>($X12*($E$3+'条件'!$G$9))/'条件'!$G$12</f>
        <v>7669.134822210195</v>
      </c>
      <c r="AC12" s="66">
        <f>$E$3+'条件'!$G$9-$AB12-$AD12</f>
        <v>3118.377203943145</v>
      </c>
      <c r="AD12" s="66">
        <f>(('条件'!$G$14/2-$Y12)*($E$3+'条件'!$G$9)+AB12*('条件'!$G$14-'条件'!$G$13)/2)/'条件'!$G$14</f>
        <v>7749.6879738466605</v>
      </c>
      <c r="AF12" s="16">
        <v>35</v>
      </c>
      <c r="AG12" s="68">
        <f>$E$3+'条件'!$G$9-$AH12-$AI12</f>
        <v>-79.07823477551483</v>
      </c>
      <c r="AH12" s="66">
        <f>('条件'!$G$12-$X12)*($E$3+'条件'!$G$9)/'条件'!$G$12</f>
        <v>10868.065177789804</v>
      </c>
      <c r="AI12" s="66">
        <f>(('条件'!$G$13/2-$Y12)*($E$3+'条件'!$G$9)-AH12*('条件'!$G$13-'条件'!$G$14)/2)/'条件'!$G$13</f>
        <v>7748.213056985712</v>
      </c>
    </row>
    <row r="13" spans="14:35" ht="18" customHeight="1">
      <c r="N13" s="16">
        <v>40</v>
      </c>
      <c r="O13" s="65">
        <f>('条件'!$G$9*('条件'!$G$10-'条件'!$G$11+'条件'!$G$12/2)+$E$3*($B$12*COS($N13*PI()/180)-'条件'!$G$11+'条件'!$G$12/2))/(2*'条件'!$G$12)</f>
        <v>731.551521207229</v>
      </c>
      <c r="P13" s="66">
        <f>($E$3*$B$12*SIN($N13*PI()/180))/('条件'!$G$13+'条件'!$G$14)</f>
        <v>803.5281188805567</v>
      </c>
      <c r="Q13" s="66">
        <f>P13*(('条件'!$G$14-'条件'!$G$13)/('条件'!$G$14+'条件'!$G$13))/2</f>
        <v>-3.712105737543436</v>
      </c>
      <c r="R13" s="66">
        <f>$E$16-$O13+$P13*2*('条件'!$G$13/('条件'!$G$14+'条件'!$G$13))-Q13</f>
        <v>4717.412914885958</v>
      </c>
      <c r="S13" s="65">
        <f>$E$16+$O13+$P13*2*('条件'!$G$14/('条件'!$G$14+'条件'!$G$13))+Q13</f>
        <v>6158.243322875155</v>
      </c>
      <c r="T13" s="66">
        <f>$E$16+$O13-$P13*2*('条件'!$G$14/('条件'!$G$14+'条件'!$G$13))+Q13</f>
        <v>4566.035508064216</v>
      </c>
      <c r="U13" s="66">
        <f>$E$16-$O13-$P13*2*('条件'!$G$13/('条件'!$G$14+'条件'!$G$13))-Q13</f>
        <v>3095.508254174671</v>
      </c>
      <c r="V13" s="65"/>
      <c r="W13" s="16">
        <v>40</v>
      </c>
      <c r="X13" s="68">
        <f>'条件'!$G$11-($E$3*$B$12*COS($W13*PI()/180))/($E$3+'条件'!$G$9)-'条件'!$G$9*'条件'!$G$10/($E$3+'条件'!$G$9)</f>
        <v>2.884343598788434</v>
      </c>
      <c r="Y13" s="66">
        <f>($E$3*$B$12*SIN($W13*PI()/180))/($E$3+'条件'!$G$9)</f>
        <v>0.6098893377990976</v>
      </c>
      <c r="AA13" s="16">
        <v>40</v>
      </c>
      <c r="AB13" s="68">
        <f>($X13*($E$3+'条件'!$G$9))/'条件'!$G$12</f>
        <v>7805.496957585542</v>
      </c>
      <c r="AC13" s="66">
        <f>$E$3+'条件'!$G$9-$AB13-$AD13</f>
        <v>3157.9377533029065</v>
      </c>
      <c r="AD13" s="66">
        <f>(('条件'!$G$14/2-$Y13)*($E$3+'条件'!$G$9)+AB13*('条件'!$G$14-'条件'!$G$13)/2)/'条件'!$G$14</f>
        <v>7573.765289111551</v>
      </c>
      <c r="AF13" s="16">
        <v>40</v>
      </c>
      <c r="AG13" s="68">
        <f>$E$3+'条件'!$G$9-$AH13-$AI13</f>
        <v>227.4886942624962</v>
      </c>
      <c r="AH13" s="66">
        <f>('条件'!$G$12-$X13)*($E$3+'条件'!$G$9)/'条件'!$G$12</f>
        <v>10731.703042414458</v>
      </c>
      <c r="AI13" s="66">
        <f>(('条件'!$G$13/2-$Y13)*($E$3+'条件'!$G$9)-AH13*('条件'!$G$13-'条件'!$G$14)/2)/'条件'!$G$13</f>
        <v>7578.008263323047</v>
      </c>
    </row>
    <row r="14" spans="14:35" ht="18" customHeight="1">
      <c r="N14" s="16">
        <v>45</v>
      </c>
      <c r="O14" s="65">
        <f>('条件'!$G$9*('条件'!$G$10-'条件'!$G$11+'条件'!$G$12/2)+$E$3*($B$12*COS($N14*PI()/180)-'条件'!$G$11+'条件'!$G$12/2))/(2*'条件'!$G$12)</f>
        <v>655.8856536282361</v>
      </c>
      <c r="P14" s="66">
        <f>($E$3*$B$12*SIN($N14*PI()/180))/('条件'!$G$13+'条件'!$G$14)</f>
        <v>883.9314466742594</v>
      </c>
      <c r="Q14" s="66">
        <f>P14*(('条件'!$G$14-'条件'!$G$13)/('条件'!$G$14+'条件'!$G$13))/2</f>
        <v>-4.083549682574756</v>
      </c>
      <c r="R14" s="66">
        <f>$E$16-$O14+$P14*2*('条件'!$G$13/('条件'!$G$14+'条件'!$G$13))-Q14</f>
        <v>4874.596442093748</v>
      </c>
      <c r="S14" s="65">
        <f>$E$16+$O14+$P14*2*('条件'!$G$14/('条件'!$G$14+'条件'!$G$13))+Q14</f>
        <v>6161.866451254771</v>
      </c>
      <c r="T14" s="66">
        <f>$E$16+$O14-$P14*2*('条件'!$G$14/('条件'!$G$14+'条件'!$G$13))+Q14</f>
        <v>4410.3377566365525</v>
      </c>
      <c r="U14" s="66">
        <f>$E$16-$O14-$P14*2*('条件'!$G$13/('条件'!$G$14+'条件'!$G$13))-Q14</f>
        <v>3090.39935001493</v>
      </c>
      <c r="V14" s="65"/>
      <c r="W14" s="16">
        <v>45</v>
      </c>
      <c r="X14" s="68">
        <f>'条件'!$G$11-($E$3*$B$12*COS($W14*PI()/180))/($E$3+'条件'!$G$9)-'条件'!$G$9*'条件'!$G$10/($E$3+'条件'!$G$9)</f>
        <v>2.9402647943213194</v>
      </c>
      <c r="Y14" s="66">
        <f>($E$3*$B$12*SIN($W14*PI()/180))/($E$3+'条件'!$G$9)</f>
        <v>0.6709166138740926</v>
      </c>
      <c r="AA14" s="16">
        <v>45</v>
      </c>
      <c r="AB14" s="68">
        <f>($X14*($E$3+'条件'!$G$9))/'条件'!$G$12</f>
        <v>7956.828692743528</v>
      </c>
      <c r="AC14" s="66">
        <f>$E$3+'条件'!$G$9-$AB14-$AD14</f>
        <v>3170.323576945876</v>
      </c>
      <c r="AD14" s="66">
        <f>(('条件'!$G$14/2-$Y14)*($E$3+'条件'!$G$9)+AB14*('条件'!$G$14-'条件'!$G$13)/2)/'条件'!$G$14</f>
        <v>7410.047730310595</v>
      </c>
      <c r="AF14" s="16">
        <v>45</v>
      </c>
      <c r="AG14" s="68">
        <f>$E$3+'条件'!$G$9-$AH14-$AI14</f>
        <v>536.7694800221907</v>
      </c>
      <c r="AH14" s="66">
        <f>('条件'!$G$12-$X14)*($E$3+'条件'!$G$9)/'条件'!$G$12</f>
        <v>10580.371307256471</v>
      </c>
      <c r="AI14" s="66">
        <f>(('条件'!$G$13/2-$Y14)*($E$3+'条件'!$G$9)-AH14*('条件'!$G$13-'条件'!$G$14)/2)/'条件'!$G$13</f>
        <v>7420.059212721339</v>
      </c>
    </row>
    <row r="15" spans="1:35" ht="18" customHeight="1">
      <c r="A15" s="58" t="s">
        <v>121</v>
      </c>
      <c r="B15" s="71" t="s">
        <v>158</v>
      </c>
      <c r="C15" s="72"/>
      <c r="D15" s="72"/>
      <c r="E15" s="72"/>
      <c r="F15" s="72"/>
      <c r="G15" s="72"/>
      <c r="H15" s="72"/>
      <c r="I15" s="72"/>
      <c r="J15" s="72"/>
      <c r="K15" s="72"/>
      <c r="L15" s="73"/>
      <c r="N15" s="16">
        <v>50</v>
      </c>
      <c r="O15" s="65">
        <f>('条件'!$G$9*('条件'!$G$10-'条件'!$G$11+'条件'!$G$12/2)+$E$3*($B$12*COS($N15*PI()/180)-'条件'!$G$11+'条件'!$G$12/2))/(2*'条件'!$G$12)</f>
        <v>573.310849098499</v>
      </c>
      <c r="P15" s="66">
        <f>($E$3*$B$12*SIN($N15*PI()/180))/('条件'!$G$13+'条件'!$G$14)</f>
        <v>957.6075224263709</v>
      </c>
      <c r="Q15" s="66">
        <f>P15*(('条件'!$G$14-'条件'!$G$13)/('条件'!$G$14+'条件'!$G$13))/2</f>
        <v>-4.423915348806969</v>
      </c>
      <c r="R15" s="66">
        <f>$E$16-$O15+$P15*2*('条件'!$G$13/('条件'!$G$14+'条件'!$G$13))-Q15</f>
        <v>5031.868419374293</v>
      </c>
      <c r="S15" s="65">
        <f>$E$16+$O15+$P15*2*('条件'!$G$14/('条件'!$G$14+'条件'!$G$13))+Q15</f>
        <v>6151.946625478449</v>
      </c>
      <c r="T15" s="66">
        <f>$E$16+$O15-$P15*2*('条件'!$G$14/('条件'!$G$14+'条件'!$G$13))+Q15</f>
        <v>4254.4272420209345</v>
      </c>
      <c r="U15" s="66">
        <f>$E$16-$O15-$P15*2*('条件'!$G$13/('条件'!$G$14+'条件'!$G$13))-Q15</f>
        <v>3098.957713126323</v>
      </c>
      <c r="V15" s="65"/>
      <c r="W15" s="16">
        <v>50</v>
      </c>
      <c r="X15" s="68">
        <f>'条件'!$G$11-($E$3*$B$12*COS($W15*PI()/180))/($E$3+'条件'!$G$9)-'条件'!$G$9*'条件'!$G$10/($E$3+'条件'!$G$9)</f>
        <v>3.0012920703963144</v>
      </c>
      <c r="Y15" s="66">
        <f>($E$3*$B$12*SIN($W15*PI()/180))/($E$3+'条件'!$G$9)</f>
        <v>0.7268378094069783</v>
      </c>
      <c r="AA15" s="16">
        <v>50</v>
      </c>
      <c r="AB15" s="68">
        <f>($X15*($E$3+'条件'!$G$9))/'条件'!$G$12</f>
        <v>8121.978301803002</v>
      </c>
      <c r="AC15" s="66">
        <f>$E$3+'条件'!$G$9-$AB15-$AD15</f>
        <v>3155.4404112753664</v>
      </c>
      <c r="AD15" s="66">
        <f>(('条件'!$G$14/2-$Y15)*($E$3+'条件'!$G$9)+AB15*('条件'!$G$14-'条件'!$G$13)/2)/'条件'!$G$14</f>
        <v>7259.781286921631</v>
      </c>
      <c r="AF15" s="16">
        <v>50</v>
      </c>
      <c r="AG15" s="68">
        <f>$E$3+'条件'!$G$9-$AH15-$AI15</f>
        <v>846.4103089750924</v>
      </c>
      <c r="AH15" s="66">
        <f>('条件'!$G$12-$X15)*($E$3+'条件'!$G$9)/'条件'!$G$12</f>
        <v>10415.221698197</v>
      </c>
      <c r="AI15" s="66">
        <f>(('条件'!$G$13/2-$Y15)*($E$3+'条件'!$G$9)-AH15*('条件'!$G$13-'条件'!$G$14)/2)/'条件'!$G$13</f>
        <v>7275.567992827909</v>
      </c>
    </row>
    <row r="16" spans="2:35" ht="18" customHeight="1">
      <c r="B16" s="168" t="s">
        <v>68</v>
      </c>
      <c r="C16" s="74" t="s">
        <v>159</v>
      </c>
      <c r="D16" s="169" t="s">
        <v>78</v>
      </c>
      <c r="E16" s="169">
        <f>($E$3+'条件'!$G$9)/4</f>
        <v>4634.3</v>
      </c>
      <c r="F16" s="26"/>
      <c r="G16" s="26"/>
      <c r="H16" s="26"/>
      <c r="I16" s="26"/>
      <c r="J16" s="26"/>
      <c r="K16" s="26"/>
      <c r="L16" s="31"/>
      <c r="N16" s="16">
        <v>55</v>
      </c>
      <c r="O16" s="65">
        <f>('条件'!$G$9*('条件'!$G$10-'条件'!$G$11+'条件'!$G$12/2)+$E$3*($B$12*COS($N16*PI()/180)-'条件'!$G$11+'条件'!$G$12/2))/(2*'条件'!$G$12)</f>
        <v>484.4555517405197</v>
      </c>
      <c r="P16" s="66">
        <f>($E$3*$B$12*SIN($N16*PI()/180))/('条件'!$G$13+'条件'!$G$14)</f>
        <v>1023.9956267135865</v>
      </c>
      <c r="Q16" s="66">
        <f>P16*(('条件'!$G$14-'条件'!$G$13)/('条件'!$G$14+'条件'!$G$13))/2</f>
        <v>-4.73061234800164</v>
      </c>
      <c r="R16" s="66">
        <f>$E$16-$O16+$P16*2*('条件'!$G$13/('条件'!$G$14+'条件'!$G$13))-Q16</f>
        <v>5188.0319120170725</v>
      </c>
      <c r="S16" s="65">
        <f>$E$16+$O16+$P16*2*('条件'!$G$14/('条件'!$G$14+'条件'!$G$13))+Q16</f>
        <v>6128.559341410101</v>
      </c>
      <c r="T16" s="66">
        <f>$E$16+$O16-$P16*2*('条件'!$G$14/('条件'!$G$14+'条件'!$G$13))+Q16</f>
        <v>4099.490537374934</v>
      </c>
      <c r="U16" s="66">
        <f>$E$16-$O16-$P16*2*('条件'!$G$13/('条件'!$G$14+'条件'!$G$13))-Q16</f>
        <v>3121.118209197892</v>
      </c>
      <c r="V16" s="65"/>
      <c r="W16" s="16">
        <v>55</v>
      </c>
      <c r="X16" s="68">
        <f>'条件'!$G$11-($E$3*$B$12*COS($W16*PI()/180))/($E$3+'条件'!$G$9)-'条件'!$G$9*'条件'!$G$10/($E$3+'条件'!$G$9)</f>
        <v>3.0669609725932117</v>
      </c>
      <c r="Y16" s="66">
        <f>($E$3*$B$12*SIN($W16*PI()/180))/($E$3+'条件'!$G$9)</f>
        <v>0.7772273303336081</v>
      </c>
      <c r="AA16" s="16">
        <v>55</v>
      </c>
      <c r="AB16" s="68">
        <f>($X16*($E$3+'条件'!$G$9))/'条件'!$G$12</f>
        <v>8299.688896518961</v>
      </c>
      <c r="AC16" s="66">
        <f>$E$3+'条件'!$G$9-$AB16-$AD16</f>
        <v>3113.4015261688282</v>
      </c>
      <c r="AD16" s="66">
        <f>(('条件'!$G$14/2-$Y16)*($E$3+'条件'!$G$9)+AB16*('条件'!$G$14-'条件'!$G$13)/2)/'条件'!$G$14</f>
        <v>7124.1095773122115</v>
      </c>
      <c r="AF16" s="16">
        <v>55</v>
      </c>
      <c r="AG16" s="68">
        <f>$E$3+'条件'!$G$9-$AH16-$AI16</f>
        <v>1154.0546274466296</v>
      </c>
      <c r="AH16" s="66">
        <f>('条件'!$G$12-$X16)*($E$3+'条件'!$G$9)/'条件'!$G$12</f>
        <v>10237.511103481038</v>
      </c>
      <c r="AI16" s="66">
        <f>(('条件'!$G$13/2-$Y16)*($E$3+'条件'!$G$9)-AH16*('条件'!$G$13-'条件'!$G$14)/2)/'条件'!$G$13</f>
        <v>7145.634269072333</v>
      </c>
    </row>
    <row r="17" spans="2:35" ht="18" customHeight="1">
      <c r="B17" s="168"/>
      <c r="C17" s="75">
        <v>4</v>
      </c>
      <c r="D17" s="169"/>
      <c r="E17" s="169"/>
      <c r="F17" s="26"/>
      <c r="G17" s="26"/>
      <c r="H17" s="26"/>
      <c r="I17" s="26"/>
      <c r="J17" s="26"/>
      <c r="K17" s="26"/>
      <c r="L17" s="31"/>
      <c r="N17" s="16">
        <v>60</v>
      </c>
      <c r="O17" s="65">
        <f>('条件'!$G$9*('条件'!$G$10-'条件'!$G$11+'条件'!$G$12/2)+$E$3*($B$12*COS($N17*PI()/180)-'条件'!$G$11+'条件'!$G$12/2))/(2*'条件'!$G$12)</f>
        <v>389.99600401948754</v>
      </c>
      <c r="P17" s="66">
        <f>($E$3*$B$12*SIN($N17*PI()/180))/('条件'!$G$13+'条件'!$G$14)</f>
        <v>1082.5905059760473</v>
      </c>
      <c r="Q17" s="66">
        <f>P17*(('条件'!$G$14-'条件'!$G$13)/('条件'!$G$14+'条件'!$G$13))/2</f>
        <v>-5.001306530806185</v>
      </c>
      <c r="R17" s="66">
        <f>$E$16-$O17+$P17*2*('条件'!$G$13/('条件'!$G$14+'条件'!$G$13))-Q17</f>
        <v>5341.898421548978</v>
      </c>
      <c r="S17" s="65">
        <f>$E$16+$O17+$P17*2*('条件'!$G$14/('条件'!$G$14+'条件'!$G$13))+Q17</f>
        <v>6091.882590403116</v>
      </c>
      <c r="T17" s="66">
        <f>$E$16+$O17-$P17*2*('条件'!$G$14/('条件'!$G$14+'条件'!$G$13))+Q17</f>
        <v>3946.7068045742467</v>
      </c>
      <c r="U17" s="66">
        <f>$E$16-$O17-$P17*2*('条件'!$G$13/('条件'!$G$14+'条件'!$G$13))-Q17</f>
        <v>3156.7121834736595</v>
      </c>
      <c r="V17" s="65"/>
      <c r="W17" s="16">
        <v>60</v>
      </c>
      <c r="X17" s="68">
        <f>'条件'!$G$11-($E$3*$B$12*COS($W17*PI()/180))/($E$3+'条件'!$G$9)-'条件'!$G$9*'条件'!$G$10/($E$3+'条件'!$G$9)</f>
        <v>3.1367717209143247</v>
      </c>
      <c r="Y17" s="66">
        <f>($E$3*$B$12*SIN($W17*PI()/180))/($E$3+'条件'!$G$9)</f>
        <v>0.8217016819737061</v>
      </c>
      <c r="AA17" s="16">
        <v>60</v>
      </c>
      <c r="AB17" s="68">
        <f>($X17*($E$3+'条件'!$G$9))/'条件'!$G$12</f>
        <v>8488.607991961026</v>
      </c>
      <c r="AC17" s="66">
        <f>$E$3+'条件'!$G$9-$AB17-$AD17</f>
        <v>3044.526862925697</v>
      </c>
      <c r="AD17" s="66">
        <f>(('条件'!$G$14/2-$Y17)*($E$3+'条件'!$G$9)+AB17*('条件'!$G$14-'条件'!$G$13)/2)/'条件'!$G$14</f>
        <v>7004.065145113278</v>
      </c>
      <c r="AF17" s="16">
        <v>60</v>
      </c>
      <c r="AG17" s="68">
        <f>$E$3+'条件'!$G$9-$AH17-$AI17</f>
        <v>1457.361076412507</v>
      </c>
      <c r="AH17" s="66">
        <f>('条件'!$G$12-$X17)*($E$3+'条件'!$G$9)/'条件'!$G$12</f>
        <v>10048.592008038975</v>
      </c>
      <c r="AI17" s="66">
        <f>(('条件'!$G$13/2-$Y17)*($E$3+'条件'!$G$9)-AH17*('条件'!$G$13-'条件'!$G$14)/2)/'条件'!$G$13</f>
        <v>7031.246915548519</v>
      </c>
    </row>
    <row r="18" spans="2:35" ht="18" customHeight="1">
      <c r="B18" s="168" t="s">
        <v>160</v>
      </c>
      <c r="C18" s="194" t="s">
        <v>161</v>
      </c>
      <c r="D18" s="194"/>
      <c r="E18" s="169" t="s">
        <v>79</v>
      </c>
      <c r="F18" s="194" t="s">
        <v>162</v>
      </c>
      <c r="G18" s="194"/>
      <c r="H18" s="194"/>
      <c r="I18" s="26"/>
      <c r="J18" s="26"/>
      <c r="K18" s="26"/>
      <c r="L18" s="31"/>
      <c r="N18" s="16">
        <v>65</v>
      </c>
      <c r="O18" s="65">
        <f>('条件'!$G$9*('条件'!$G$10-'条件'!$G$11+'条件'!$G$12/2)+$E$3*($B$12*COS($N18*PI()/180)-'条件'!$G$11+'条件'!$G$12/2))/(2*'条件'!$G$12)</f>
        <v>290.6511001297939</v>
      </c>
      <c r="P18" s="66">
        <f>($E$3*$B$12*SIN($N18*PI()/180))/('条件'!$G$13+'条件'!$G$14)</f>
        <v>1132.9462178020103</v>
      </c>
      <c r="Q18" s="66">
        <f>P18*(('条件'!$G$14-'条件'!$G$13)/('条件'!$G$14+'条件'!$G$13))/2</f>
        <v>-5.233937751039845</v>
      </c>
      <c r="R18" s="66">
        <f>$E$16-$O18+$P18*2*('条件'!$G$13/('条件'!$G$14+'条件'!$G$13))-Q18</f>
        <v>5492.296930925336</v>
      </c>
      <c r="S18" s="65">
        <f>$E$16+$O18+$P18*2*('条件'!$G$14/('条件'!$G$14+'条件'!$G$13))+Q18</f>
        <v>6042.195504678685</v>
      </c>
      <c r="T18" s="66">
        <f>$E$16+$O18-$P18*2*('条件'!$G$14/('条件'!$G$14+'条件'!$G$13))+Q18</f>
        <v>3797.2388200788237</v>
      </c>
      <c r="U18" s="66">
        <f>$E$16-$O18-$P18*2*('条件'!$G$13/('条件'!$G$14+'条件'!$G$13))-Q18</f>
        <v>3205.468744317156</v>
      </c>
      <c r="V18" s="65"/>
      <c r="W18" s="16">
        <v>65</v>
      </c>
      <c r="X18" s="68">
        <f>'条件'!$G$11-($E$3*$B$12*COS($W18*PI()/180))/($E$3+'条件'!$G$9)-'条件'!$G$9*'条件'!$G$10/($E$3+'条件'!$G$9)</f>
        <v>3.210193013412048</v>
      </c>
      <c r="Y18" s="66">
        <f>($E$3*$B$12*SIN($W18*PI()/180))/($E$3+'条件'!$G$9)</f>
        <v>0.8599223876569431</v>
      </c>
      <c r="AA18" s="16">
        <v>65</v>
      </c>
      <c r="AB18" s="68">
        <f>($X18*($E$3+'条件'!$G$9))/'条件'!$G$12</f>
        <v>8687.297799740412</v>
      </c>
      <c r="AC18" s="66">
        <f>$E$3+'条件'!$G$9-$AB18-$AD18</f>
        <v>2949.340599320909</v>
      </c>
      <c r="AD18" s="66">
        <f>(('条件'!$G$14/2-$Y18)*($E$3+'条件'!$G$9)+AB18*('条件'!$G$14-'条件'!$G$13)/2)/'条件'!$G$14</f>
        <v>6900.5616009386795</v>
      </c>
      <c r="AF18" s="16">
        <v>65</v>
      </c>
      <c r="AG18" s="68">
        <f>$E$3+'条件'!$G$9-$AH18-$AI18</f>
        <v>1754.0213106546598</v>
      </c>
      <c r="AH18" s="66">
        <f>('条件'!$G$12-$X18)*($E$3+'条件'!$G$9)/'条件'!$G$12</f>
        <v>9849.902200259588</v>
      </c>
      <c r="AI18" s="66">
        <f>(('条件'!$G$13/2-$Y18)*($E$3+'条件'!$G$9)-AH18*('条件'!$G$13-'条件'!$G$14)/2)/'条件'!$G$13</f>
        <v>6933.2764890857525</v>
      </c>
    </row>
    <row r="19" spans="2:35" ht="18" customHeight="1">
      <c r="B19" s="168"/>
      <c r="C19" s="166" t="s">
        <v>163</v>
      </c>
      <c r="D19" s="166"/>
      <c r="E19" s="169"/>
      <c r="F19" s="166" t="s">
        <v>163</v>
      </c>
      <c r="G19" s="166"/>
      <c r="H19" s="166"/>
      <c r="I19" s="26"/>
      <c r="J19" s="26"/>
      <c r="K19" s="26"/>
      <c r="L19" s="31"/>
      <c r="N19" s="16">
        <v>70</v>
      </c>
      <c r="O19" s="65">
        <f>('条件'!$G$9*('条件'!$G$10-'条件'!$G$11+'条件'!$G$12/2)+$E$3*($B$12*COS($N19*PI()/180)-'条件'!$G$11+'条件'!$G$12/2))/(2*'条件'!$G$12)</f>
        <v>187.1769147761328</v>
      </c>
      <c r="P19" s="66">
        <f>($E$3*$B$12*SIN($N19*PI()/180))/('条件'!$G$13+'条件'!$G$14)</f>
        <v>1174.67952481887</v>
      </c>
      <c r="Q19" s="66">
        <f>P19*(('条件'!$G$14-'条件'!$G$13)/('条件'!$G$14+'条件'!$G$13))/2</f>
        <v>-5.426735544650071</v>
      </c>
      <c r="R19" s="66">
        <f>$E$16-$O19+$P19*2*('条件'!$G$13/('条件'!$G$14+'条件'!$G$13))-Q19</f>
        <v>5638.082816676688</v>
      </c>
      <c r="S19" s="65">
        <f>$E$16+$O19+$P19*2*('条件'!$G$14/('条件'!$G$14+'条件'!$G$13))+Q19</f>
        <v>5979.876232961053</v>
      </c>
      <c r="T19" s="66">
        <f>$E$16+$O19-$P19*2*('条件'!$G$14/('条件'!$G$14+'条件'!$G$13))+Q19</f>
        <v>3652.2241255019126</v>
      </c>
      <c r="U19" s="66">
        <f>$E$16-$O19-$P19*2*('条件'!$G$13/('条件'!$G$14+'条件'!$G$13))-Q19</f>
        <v>3267.0168248603477</v>
      </c>
      <c r="V19" s="65"/>
      <c r="W19" s="16">
        <v>70</v>
      </c>
      <c r="X19" s="68">
        <f>'条件'!$G$11-($E$3*$B$12*COS($W19*PI()/180))/($E$3+'条件'!$G$9)-'条件'!$G$9*'条件'!$G$10/($E$3+'条件'!$G$9)</f>
        <v>3.286666069717486</v>
      </c>
      <c r="Y19" s="66">
        <f>($E$3*$B$12*SIN($W19*PI()/180))/($E$3+'条件'!$G$9)</f>
        <v>0.8915985647347766</v>
      </c>
      <c r="AA19" s="16">
        <v>70</v>
      </c>
      <c r="AB19" s="68">
        <f>($X19*($E$3+'条件'!$G$9))/'条件'!$G$12</f>
        <v>8894.246170447735</v>
      </c>
      <c r="AC19" s="66">
        <f>$E$3+'条件'!$G$9-$AB19-$AD19</f>
        <v>2828.5671602955363</v>
      </c>
      <c r="AD19" s="66">
        <f>(('条件'!$G$14/2-$Y19)*($E$3+'条件'!$G$9)+AB19*('条件'!$G$14-'条件'!$G$13)/2)/'条件'!$G$14</f>
        <v>6814.386669256729</v>
      </c>
      <c r="AF19" s="16">
        <v>70</v>
      </c>
      <c r="AG19" s="68">
        <f>$E$3+'条件'!$G$9-$AH19-$AI19</f>
        <v>2041.7775666621565</v>
      </c>
      <c r="AH19" s="66">
        <f>('条件'!$G$12-$X19)*($E$3+'条件'!$G$9)/'条件'!$G$12</f>
        <v>9642.953829552265</v>
      </c>
      <c r="AI19" s="66">
        <f>(('条件'!$G$13/2-$Y19)*($E$3+'条件'!$G$9)-AH19*('条件'!$G$13-'条件'!$G$14)/2)/'条件'!$G$13</f>
        <v>6852.468603785579</v>
      </c>
    </row>
    <row r="20" spans="2:35" ht="18" customHeight="1">
      <c r="B20" s="168" t="s">
        <v>164</v>
      </c>
      <c r="C20" s="194" t="s">
        <v>165</v>
      </c>
      <c r="D20" s="194"/>
      <c r="E20" s="26"/>
      <c r="F20" s="26"/>
      <c r="G20" s="26"/>
      <c r="H20" s="26"/>
      <c r="I20" s="26"/>
      <c r="J20" s="26"/>
      <c r="K20" s="26"/>
      <c r="L20" s="31"/>
      <c r="N20" s="16">
        <v>75</v>
      </c>
      <c r="O20" s="65">
        <f>('条件'!$G$9*('条件'!$G$10-'条件'!$G$11+'条件'!$G$12/2)+$E$3*($B$12*COS($N20*PI()/180)-'条件'!$G$11+'条件'!$G$12/2))/(2*'条件'!$G$12)</f>
        <v>80.36094898846672</v>
      </c>
      <c r="P20" s="66">
        <f>($E$3*$B$12*SIN($N20*PI()/180))/('条件'!$G$13+'条件'!$G$14)</f>
        <v>1207.4728113609683</v>
      </c>
      <c r="Q20" s="66">
        <f>P20*(('条件'!$G$14-'条件'!$G$13)/('条件'!$G$14+'条件'!$G$13))/2</f>
        <v>-5.578232604012998</v>
      </c>
      <c r="R20" s="66">
        <f>$E$16-$O20+$P20*2*('条件'!$G$13/('条件'!$G$14+'条件'!$G$13))-Q20</f>
        <v>5778.14656018454</v>
      </c>
      <c r="S20" s="65">
        <f>$E$16+$O20+$P20*2*('条件'!$G$14/('条件'!$G$14+'条件'!$G$13))+Q20</f>
        <v>5905.399062537396</v>
      </c>
      <c r="T20" s="66">
        <f>$E$16+$O20-$P20*2*('条件'!$G$14/('条件'!$G$14+'条件'!$G$13))+Q20</f>
        <v>3512.7663702315117</v>
      </c>
      <c r="U20" s="66">
        <f>$E$16-$O20-$P20*2*('条件'!$G$13/('条件'!$G$14+'条件'!$G$13))-Q20</f>
        <v>3340.8880070465525</v>
      </c>
      <c r="V20" s="65"/>
      <c r="W20" s="16">
        <v>75</v>
      </c>
      <c r="X20" s="68">
        <f>'条件'!$G$11-($E$3*$B$12*COS($W20*PI()/180))/($E$3+'条件'!$G$9)-'条件'!$G$9*'条件'!$G$10/($E$3+'条件'!$G$9)</f>
        <v>3.3656088836964595</v>
      </c>
      <c r="Y20" s="66">
        <f>($E$3*$B$12*SIN($W20*PI()/180))/($E$3+'条件'!$G$9)</f>
        <v>0.9164891383730458</v>
      </c>
      <c r="AA20" s="16">
        <v>75</v>
      </c>
      <c r="AB20" s="68">
        <f>($X20*($E$3+'条件'!$G$9))/'条件'!$G$12</f>
        <v>9107.878102023067</v>
      </c>
      <c r="AC20" s="66">
        <f>$E$3+'条件'!$G$9-$AB20-$AD20</f>
        <v>2683.1257046455594</v>
      </c>
      <c r="AD20" s="66">
        <f>(('条件'!$G$14/2-$Y20)*($E$3+'条件'!$G$9)+AB20*('条件'!$G$14-'条件'!$G$13)/2)/'条件'!$G$14</f>
        <v>6746.196193331374</v>
      </c>
      <c r="AF20" s="16">
        <v>75</v>
      </c>
      <c r="AG20" s="68">
        <f>$E$3+'条件'!$G$9-$AH20-$AI20</f>
        <v>2318.4398455748023</v>
      </c>
      <c r="AH20" s="66">
        <f>('条件'!$G$12-$X20)*($E$3+'条件'!$G$9)/'条件'!$G$12</f>
        <v>9429.321897976934</v>
      </c>
      <c r="AI20" s="66">
        <f>(('条件'!$G$13/2-$Y20)*($E$3+'条件'!$G$9)-AH20*('条件'!$G$13-'条件'!$G$14)/2)/'条件'!$G$13</f>
        <v>6789.438256448265</v>
      </c>
    </row>
    <row r="21" spans="2:35" ht="18" customHeight="1">
      <c r="B21" s="168"/>
      <c r="C21" s="166" t="s">
        <v>166</v>
      </c>
      <c r="D21" s="166"/>
      <c r="E21" s="26"/>
      <c r="F21" s="26"/>
      <c r="G21" s="26"/>
      <c r="H21" s="26"/>
      <c r="I21" s="26"/>
      <c r="J21" s="26"/>
      <c r="K21" s="26"/>
      <c r="L21" s="31"/>
      <c r="N21" s="16">
        <v>80</v>
      </c>
      <c r="O21" s="65">
        <f>('条件'!$G$9*('条件'!$G$10-'条件'!$G$11+'条件'!$G$12/2)+$E$3*($B$12*COS($N21*PI()/180)-'条件'!$G$11+'条件'!$G$12/2))/(2*'条件'!$G$12)</f>
        <v>-28.98386323631646</v>
      </c>
      <c r="P21" s="66">
        <f>($E$3*$B$12*SIN($N21*PI()/180))/('条件'!$G$13+'条件'!$G$14)</f>
        <v>1231.0765007165921</v>
      </c>
      <c r="Q21" s="66">
        <f>P21*(('条件'!$G$14-'条件'!$G$13)/('条件'!$G$14+'条件'!$G$13))/2</f>
        <v>-5.68727594503045</v>
      </c>
      <c r="R21" s="66">
        <f>$E$16-$O21+$P21*2*('条件'!$G$13/('条件'!$G$14+'条件'!$G$13))-Q21</f>
        <v>5911.422191788</v>
      </c>
      <c r="S21" s="65">
        <f>$E$16+$O21+$P21*2*('条件'!$G$14/('条件'!$G$14+'条件'!$G$13))+Q21</f>
        <v>5819.330809645185</v>
      </c>
      <c r="T21" s="66">
        <f>$E$16+$O21-$P21*2*('条件'!$G$14/('条件'!$G$14+'条件'!$G$13))+Q21</f>
        <v>3379.9269119921223</v>
      </c>
      <c r="U21" s="66">
        <f>$E$16-$O21-$P21*2*('条件'!$G$13/('条件'!$G$14+'条件'!$G$13))-Q21</f>
        <v>3426.5200865746933</v>
      </c>
      <c r="V21" s="65"/>
      <c r="W21" s="16">
        <v>80</v>
      </c>
      <c r="X21" s="68">
        <f>'条件'!$G$11-($E$3*$B$12*COS($W21*PI()/180))/($E$3+'条件'!$G$9)-'条件'!$G$9*'条件'!$G$10/($E$3+'条件'!$G$9)</f>
        <v>3.4464206528676136</v>
      </c>
      <c r="Y21" s="66">
        <f>($E$3*$B$12*SIN($W21*PI()/180))/($E$3+'条件'!$G$9)</f>
        <v>0.9344046762770241</v>
      </c>
      <c r="AA21" s="16">
        <v>80</v>
      </c>
      <c r="AB21" s="68">
        <f>($X21*($E$3+'条件'!$G$9))/'条件'!$G$12</f>
        <v>9326.567726472633</v>
      </c>
      <c r="AC21" s="66">
        <f>$E$3+'条件'!$G$9-$AB21-$AD21</f>
        <v>2514.1231296684246</v>
      </c>
      <c r="AD21" s="66">
        <f>(('条件'!$G$14/2-$Y21)*($E$3+'条件'!$G$9)+AB21*('条件'!$G$14-'条件'!$G$13)/2)/'条件'!$G$14</f>
        <v>6696.509143858943</v>
      </c>
      <c r="AF21" s="16">
        <v>80</v>
      </c>
      <c r="AG21" s="68">
        <f>$E$3+'条件'!$G$9-$AH21-$AI21</f>
        <v>2581.9025803968198</v>
      </c>
      <c r="AH21" s="66">
        <f>('条件'!$G$12-$X21)*($E$3+'条件'!$G$9)/'条件'!$G$12</f>
        <v>9210.632273527368</v>
      </c>
      <c r="AI21" s="66">
        <f>(('条件'!$G$13/2-$Y21)*($E$3+'条件'!$G$9)-AH21*('条件'!$G$13-'条件'!$G$14)/2)/'条件'!$G$13</f>
        <v>6744.665146075813</v>
      </c>
    </row>
    <row r="22" spans="2:35" ht="18" customHeight="1">
      <c r="B22" s="168" t="s">
        <v>167</v>
      </c>
      <c r="C22" s="194" t="s">
        <v>80</v>
      </c>
      <c r="D22" s="194"/>
      <c r="F22" s="26"/>
      <c r="G22" s="26"/>
      <c r="H22" s="26"/>
      <c r="I22" s="26"/>
      <c r="J22" s="26"/>
      <c r="K22" s="26"/>
      <c r="L22" s="31"/>
      <c r="N22" s="16">
        <v>85</v>
      </c>
      <c r="O22" s="65">
        <f>('条件'!$G$9*('条件'!$G$10-'条件'!$G$11+'条件'!$G$12/2)+$E$3*($B$12*COS($N22*PI()/180)-'条件'!$G$11+'条件'!$G$12/2))/(2*'条件'!$G$12)</f>
        <v>-140.0253418529839</v>
      </c>
      <c r="P22" s="66">
        <f>($E$3*$B$12*SIN($N22*PI()/180))/('条件'!$G$13+'条件'!$G$14)</f>
        <v>1245.3109545574478</v>
      </c>
      <c r="Q22" s="66">
        <f>P22*(('条件'!$G$14-'条件'!$G$13)/('条件'!$G$14+'条件'!$G$13))/2</f>
        <v>-5.753035682035113</v>
      </c>
      <c r="R22" s="66">
        <f>$E$16-$O22+$P22*2*('条件'!$G$13/('条件'!$G$14+'条件'!$G$13))-Q22</f>
        <v>6036.895403456538</v>
      </c>
      <c r="S22" s="65">
        <f>$E$16+$O22+$P22*2*('条件'!$G$14/('条件'!$G$14+'条件'!$G$13))+Q22</f>
        <v>5722.326505658359</v>
      </c>
      <c r="T22" s="66">
        <f>$E$16+$O22-$P22*2*('条件'!$G$14/('条件'!$G$14+'条件'!$G$13))+Q22</f>
        <v>3254.7167392716037</v>
      </c>
      <c r="U22" s="66">
        <f>$E$16-$O22-$P22*2*('条件'!$G$13/('条件'!$G$14+'条件'!$G$13))-Q22</f>
        <v>3523.261351613501</v>
      </c>
      <c r="V22" s="65"/>
      <c r="W22" s="16">
        <v>85</v>
      </c>
      <c r="X22" s="68">
        <f>'条件'!$G$11-($E$3*$B$12*COS($W22*PI()/180))/($E$3+'条件'!$G$9)-'条件'!$G$9*'条件'!$G$10/($E$3+'条件'!$G$9)</f>
        <v>3.5284863508720776</v>
      </c>
      <c r="Y22" s="66">
        <f>($E$3*$B$12*SIN($W22*PI()/180))/($E$3+'条件'!$G$9)</f>
        <v>0.9452088303855646</v>
      </c>
      <c r="AA22" s="16">
        <v>85</v>
      </c>
      <c r="AB22" s="68">
        <f>($X22*($E$3+'条件'!$G$9))/'条件'!$G$12</f>
        <v>9548.650683705968</v>
      </c>
      <c r="AC22" s="66">
        <f>$E$3+'条件'!$G$9-$AB22-$AD22</f>
        <v>2322.845647006252</v>
      </c>
      <c r="AD22" s="66">
        <f>(('条件'!$G$14/2-$Y22)*($E$3+'条件'!$G$9)+AB22*('条件'!$G$14-'条件'!$G$13)/2)/'条件'!$G$14</f>
        <v>6665.703669287781</v>
      </c>
      <c r="AF22" s="16">
        <v>85</v>
      </c>
      <c r="AG22" s="68">
        <f>$E$3+'条件'!$G$9-$AH22-$AI22</f>
        <v>2830.160660633066</v>
      </c>
      <c r="AH22" s="66">
        <f>('条件'!$G$12-$X22)*($E$3+'条件'!$G$9)/'条件'!$G$12</f>
        <v>8988.549316294033</v>
      </c>
      <c r="AI22" s="66">
        <f>(('条件'!$G$13/2-$Y22)*($E$3+'条件'!$G$9)-AH22*('条件'!$G$13-'条件'!$G$14)/2)/'条件'!$G$13</f>
        <v>6718.490023072902</v>
      </c>
    </row>
    <row r="23" spans="2:35" ht="18" customHeight="1">
      <c r="B23" s="168"/>
      <c r="C23" s="166" t="s">
        <v>168</v>
      </c>
      <c r="D23" s="166"/>
      <c r="F23" s="26"/>
      <c r="G23" s="26"/>
      <c r="H23" s="26"/>
      <c r="I23" s="26"/>
      <c r="J23" s="26"/>
      <c r="K23" s="26"/>
      <c r="L23" s="31"/>
      <c r="N23" s="16">
        <v>90</v>
      </c>
      <c r="O23" s="65">
        <f>('条件'!$G$9*('条件'!$G$10-'条件'!$G$11+'条件'!$G$12/2)+$E$3*($B$12*COS($N23*PI()/180)-'条件'!$G$11+'条件'!$G$12/2))/(2*'条件'!$G$12)</f>
        <v>-251.9183941605839</v>
      </c>
      <c r="P23" s="66">
        <f>($E$3*$B$12*SIN($N23*PI()/180))/('条件'!$G$13+'条件'!$G$14)</f>
        <v>1250.0678400948082</v>
      </c>
      <c r="Q23" s="66">
        <f>P23*(('条件'!$G$14-'条件'!$G$13)/('条件'!$G$14+'条件'!$G$13))/2</f>
        <v>-5.775011343721569</v>
      </c>
      <c r="R23" s="66">
        <f>$E$16-$O23+$P23*2*('条件'!$G$13/('条件'!$G$14+'条件'!$G$13))-Q23</f>
        <v>6153.611268286557</v>
      </c>
      <c r="S23" s="65">
        <f>$E$16+$O23+$P23*2*('条件'!$G$14/('条件'!$G$14+'条件'!$G$13))+Q23</f>
        <v>5615.12441190306</v>
      </c>
      <c r="T23" s="66">
        <f>$E$16+$O23-$P23*2*('条件'!$G$14/('条件'!$G$14+'条件'!$G$13))+Q23</f>
        <v>3138.0887770883296</v>
      </c>
      <c r="U23" s="66">
        <f>$E$16-$O23-$P23*2*('条件'!$G$13/('条件'!$G$14+'条件'!$G$13))-Q23</f>
        <v>3630.375542722055</v>
      </c>
      <c r="V23" s="65"/>
      <c r="W23" s="16">
        <v>90</v>
      </c>
      <c r="X23" s="68">
        <f>'条件'!$G$11-($E$3*$B$12*COS($W23*PI()/180))/($E$3+'条件'!$G$9)-'条件'!$G$9*'条件'!$G$10/($E$3+'条件'!$G$9)</f>
        <v>3.6111814081954123</v>
      </c>
      <c r="Y23" s="66">
        <f>($E$3*$B$12*SIN($W23*PI()/180))/($E$3+'条件'!$G$9)</f>
        <v>0.9488193745621749</v>
      </c>
      <c r="AA23" s="16">
        <v>90</v>
      </c>
      <c r="AB23" s="68">
        <f>($X23*($E$3+'条件'!$G$9))/'条件'!$G$12</f>
        <v>9772.436788321167</v>
      </c>
      <c r="AC23" s="66">
        <f>$E$3+'条件'!$G$9-$AB23-$AD23</f>
        <v>2110.7489937986074</v>
      </c>
      <c r="AD23" s="66">
        <f>(('条件'!$G$14/2-$Y23)*($E$3+'条件'!$G$9)+AB23*('条件'!$G$14-'条件'!$G$13)/2)/'条件'!$G$14</f>
        <v>6654.014217880226</v>
      </c>
      <c r="AF23" s="16">
        <v>90</v>
      </c>
      <c r="AG23" s="68">
        <f>$E$3+'条件'!$G$9-$AH23-$AI23</f>
        <v>3061.3246923906163</v>
      </c>
      <c r="AH23" s="66">
        <f>('条件'!$G$12-$X23)*($E$3+'条件'!$G$9)/'条件'!$G$12</f>
        <v>8764.763211678832</v>
      </c>
      <c r="AI23" s="66">
        <f>(('条件'!$G$13/2-$Y23)*($E$3+'条件'!$G$9)-AH23*('条件'!$G$13-'条件'!$G$14)/2)/'条件'!$G$13</f>
        <v>6711.112095930553</v>
      </c>
    </row>
    <row r="24" spans="2:35" ht="18" customHeight="1">
      <c r="B24" s="30"/>
      <c r="C24" s="26"/>
      <c r="D24" s="26"/>
      <c r="E24" s="26"/>
      <c r="F24" s="26"/>
      <c r="G24" s="26"/>
      <c r="H24" s="26"/>
      <c r="I24" s="26"/>
      <c r="J24" s="26"/>
      <c r="K24" s="26"/>
      <c r="L24" s="31"/>
      <c r="N24" s="16">
        <v>95</v>
      </c>
      <c r="O24" s="65">
        <f>('条件'!$G$9*('条件'!$G$10-'条件'!$G$11+'条件'!$G$12/2)+$E$3*($B$12*COS($N24*PI()/180)-'条件'!$G$11+'条件'!$G$12/2))/(2*'条件'!$G$12)</f>
        <v>-363.8114464681845</v>
      </c>
      <c r="P24" s="66">
        <f>($E$3*$B$12*SIN($N24*PI()/180))/('条件'!$G$13+'条件'!$G$14)</f>
        <v>1245.3109545574478</v>
      </c>
      <c r="Q24" s="66">
        <f>P24*(('条件'!$G$14-'条件'!$G$13)/('条件'!$G$14+'条件'!$G$13))/2</f>
        <v>-5.753035682035113</v>
      </c>
      <c r="R24" s="66">
        <f>$E$16-$O24+$P24*2*('条件'!$G$13/('条件'!$G$14+'条件'!$G$13))-Q24</f>
        <v>6260.681508071739</v>
      </c>
      <c r="S24" s="65">
        <f>$E$16+$O24+$P24*2*('条件'!$G$14/('条件'!$G$14+'条件'!$G$13))+Q24</f>
        <v>5498.5404010431575</v>
      </c>
      <c r="T24" s="66">
        <f>$E$16+$O24-$P24*2*('条件'!$G$14/('条件'!$G$14+'条件'!$G$13))+Q24</f>
        <v>3030.9306346564026</v>
      </c>
      <c r="U24" s="66">
        <f>$E$16-$O24-$P24*2*('条件'!$G$13/('条件'!$G$14+'条件'!$G$13))-Q24</f>
        <v>3747.0474562287022</v>
      </c>
      <c r="V24" s="65"/>
      <c r="W24" s="16">
        <v>95</v>
      </c>
      <c r="X24" s="68">
        <f>'条件'!$G$11-($E$3*$B$12*COS($W24*PI()/180))/($E$3+'条件'!$G$9)-'条件'!$G$9*'条件'!$G$10/($E$3+'条件'!$G$9)</f>
        <v>3.693876465518747</v>
      </c>
      <c r="Y24" s="66">
        <f>($E$3*$B$12*SIN($W24*PI()/180))/($E$3+'条件'!$G$9)</f>
        <v>0.9452088303855646</v>
      </c>
      <c r="AA24" s="16">
        <v>95</v>
      </c>
      <c r="AB24" s="68">
        <f>($X24*($E$3+'条件'!$G$9))/'条件'!$G$12</f>
        <v>9996.222892936368</v>
      </c>
      <c r="AC24" s="66">
        <f>$E$3+'条件'!$G$9-$AB24-$AD24</f>
        <v>1879.4473536438536</v>
      </c>
      <c r="AD24" s="66">
        <f>(('条件'!$G$14/2-$Y24)*($E$3+'条件'!$G$9)+AB24*('条件'!$G$14-'条件'!$G$13)/2)/'条件'!$G$14</f>
        <v>6661.529753419779</v>
      </c>
      <c r="AF24" s="16">
        <v>95</v>
      </c>
      <c r="AG24" s="68">
        <f>$E$3+'条件'!$G$9-$AH24-$AI24</f>
        <v>3273.6353778071325</v>
      </c>
      <c r="AH24" s="66">
        <f>('条件'!$G$12-$X24)*($E$3+'条件'!$G$9)/'条件'!$G$12</f>
        <v>8540.977107063633</v>
      </c>
      <c r="AI24" s="66">
        <f>(('条件'!$G$13/2-$Y24)*($E$3+'条件'!$G$9)-AH24*('条件'!$G$13-'条件'!$G$14)/2)/'条件'!$G$13</f>
        <v>6722.587515129236</v>
      </c>
    </row>
    <row r="25" spans="2:35" ht="18" customHeight="1">
      <c r="B25" s="30" t="s">
        <v>169</v>
      </c>
      <c r="C25" s="26"/>
      <c r="D25" s="26"/>
      <c r="E25" s="26"/>
      <c r="F25" s="26"/>
      <c r="G25" s="27"/>
      <c r="H25" s="10"/>
      <c r="I25" s="10"/>
      <c r="J25" s="65"/>
      <c r="K25" s="26"/>
      <c r="L25" s="31"/>
      <c r="N25" s="16">
        <v>100</v>
      </c>
      <c r="O25" s="65">
        <f>('条件'!$G$9*('条件'!$G$10-'条件'!$G$11+'条件'!$G$12/2)+$E$3*($B$12*COS($N25*PI()/180)-'条件'!$G$11+'条件'!$G$12/2))/(2*'条件'!$G$12)</f>
        <v>-474.85292508485094</v>
      </c>
      <c r="P25" s="66">
        <f>($E$3*$B$12*SIN($N25*PI()/180))/('条件'!$G$13+'条件'!$G$14)</f>
        <v>1231.0765007165921</v>
      </c>
      <c r="Q25" s="66">
        <f>P25*(('条件'!$G$14-'条件'!$G$13)/('条件'!$G$14+'条件'!$G$13))/2</f>
        <v>-5.68727594503045</v>
      </c>
      <c r="R25" s="66">
        <f>$E$16-$O25+$P25*2*('条件'!$G$13/('条件'!$G$14+'条件'!$G$13))-Q25</f>
        <v>6357.291253636535</v>
      </c>
      <c r="S25" s="65">
        <f>$E$16+$O25+$P25*2*('条件'!$G$14/('条件'!$G$14+'条件'!$G$13))+Q25</f>
        <v>5373.46174779665</v>
      </c>
      <c r="T25" s="66">
        <f>$E$16+$O25-$P25*2*('条件'!$G$14/('条件'!$G$14+'条件'!$G$13))+Q25</f>
        <v>2934.057850143588</v>
      </c>
      <c r="U25" s="66">
        <f>$E$16-$O25-$P25*2*('条件'!$G$13/('条件'!$G$14+'条件'!$G$13))-Q25</f>
        <v>3872.3891484232277</v>
      </c>
      <c r="V25" s="65"/>
      <c r="W25" s="16">
        <v>100</v>
      </c>
      <c r="X25" s="68">
        <f>'条件'!$G$11-($E$3*$B$12*COS($W25*PI()/180))/($E$3+'条件'!$G$9)-'条件'!$G$9*'条件'!$G$10/($E$3+'条件'!$G$9)</f>
        <v>3.77594216352321</v>
      </c>
      <c r="Y25" s="66">
        <f>($E$3*$B$12*SIN($W25*PI()/180))/($E$3+'条件'!$G$9)</f>
        <v>0.9344046762770241</v>
      </c>
      <c r="AA25" s="16">
        <v>100</v>
      </c>
      <c r="AB25" s="68">
        <f>($X25*($E$3+'条件'!$G$9))/'条件'!$G$12</f>
        <v>10218.305850169701</v>
      </c>
      <c r="AC25" s="66">
        <f>$E$3+'条件'!$G$9-$AB25-$AD25</f>
        <v>1630.7010716873265</v>
      </c>
      <c r="AD25" s="66">
        <f>(('条件'!$G$14/2-$Y25)*($E$3+'条件'!$G$9)+AB25*('条件'!$G$14-'条件'!$G$13)/2)/'条件'!$G$14</f>
        <v>6688.193078142973</v>
      </c>
      <c r="AF25" s="16">
        <v>100</v>
      </c>
      <c r="AG25" s="68">
        <f>$E$3+'条件'!$G$9-$AH25-$AI25</f>
        <v>3465.4769043699007</v>
      </c>
      <c r="AH25" s="66">
        <f>('条件'!$G$12-$X25)*($E$3+'条件'!$G$9)/'条件'!$G$12</f>
        <v>8318.8941498303</v>
      </c>
      <c r="AI25" s="66">
        <f>(('条件'!$G$13/2-$Y25)*($E$3+'条件'!$G$9)-AH25*('条件'!$G$13-'条件'!$G$14)/2)/'条件'!$G$13</f>
        <v>6752.828945799801</v>
      </c>
    </row>
    <row r="26" spans="2:35" ht="18" customHeight="1">
      <c r="B26" s="30" t="s">
        <v>170</v>
      </c>
      <c r="C26" s="26"/>
      <c r="D26" s="26"/>
      <c r="E26" s="26"/>
      <c r="F26" s="26"/>
      <c r="G26" s="27"/>
      <c r="H26" s="10"/>
      <c r="I26" s="10"/>
      <c r="J26" s="65"/>
      <c r="K26" s="26"/>
      <c r="L26" s="31"/>
      <c r="N26" s="16">
        <v>105</v>
      </c>
      <c r="O26" s="65">
        <f>('条件'!$G$9*('条件'!$G$10-'条件'!$G$11+'条件'!$G$12/2)+$E$3*($B$12*COS($N26*PI()/180)-'条件'!$G$11+'条件'!$G$12/2))/(2*'条件'!$G$12)</f>
        <v>-584.1977373096348</v>
      </c>
      <c r="P26" s="66">
        <f>($E$3*$B$12*SIN($N26*PI()/180))/('条件'!$G$13+'条件'!$G$14)</f>
        <v>1207.4728113609683</v>
      </c>
      <c r="Q26" s="66">
        <f>P26*(('条件'!$G$14-'条件'!$G$13)/('条件'!$G$14+'条件'!$G$13))/2</f>
        <v>-5.578232604012998</v>
      </c>
      <c r="R26" s="66">
        <f>$E$16-$O26+$P26*2*('条件'!$G$13/('条件'!$G$14+'条件'!$G$13))-Q26</f>
        <v>6442.705246482642</v>
      </c>
      <c r="S26" s="65">
        <f>$E$16+$O26+$P26*2*('条件'!$G$14/('条件'!$G$14+'条件'!$G$13))+Q26</f>
        <v>5240.840376239295</v>
      </c>
      <c r="T26" s="66">
        <f>$E$16+$O26-$P26*2*('条件'!$G$14/('条件'!$G$14+'条件'!$G$13))+Q26</f>
        <v>2848.20768393341</v>
      </c>
      <c r="U26" s="66">
        <f>$E$16-$O26-$P26*2*('条件'!$G$13/('条件'!$G$14+'条件'!$G$13))-Q26</f>
        <v>4005.4466933446542</v>
      </c>
      <c r="V26" s="65"/>
      <c r="W26" s="16">
        <v>105</v>
      </c>
      <c r="X26" s="68">
        <f>'条件'!$G$11-($E$3*$B$12*COS($W26*PI()/180))/($E$3+'条件'!$G$9)-'条件'!$G$9*'条件'!$G$10/($E$3+'条件'!$G$9)</f>
        <v>3.856753932694365</v>
      </c>
      <c r="Y26" s="66">
        <f>($E$3*$B$12*SIN($W26*PI()/180))/($E$3+'条件'!$G$9)</f>
        <v>0.9164891383730458</v>
      </c>
      <c r="AA26" s="16">
        <v>105</v>
      </c>
      <c r="AB26" s="68">
        <f>($X26*($E$3+'条件'!$G$9))/'条件'!$G$12</f>
        <v>10436.995474619269</v>
      </c>
      <c r="AC26" s="66">
        <f>$E$3+'条件'!$G$9-$AB26-$AD26</f>
        <v>1366.403257331819</v>
      </c>
      <c r="AD26" s="66">
        <f>(('条件'!$G$14/2-$Y26)*($E$3+'条件'!$G$9)+AB26*('条件'!$G$14-'条件'!$G$13)/2)/'条件'!$G$14</f>
        <v>6733.801268048913</v>
      </c>
      <c r="AF26" s="16">
        <v>105</v>
      </c>
      <c r="AG26" s="68">
        <f>$E$3+'条件'!$G$9-$AH26-$AI26</f>
        <v>3635.389242224702</v>
      </c>
      <c r="AH26" s="66">
        <f>('条件'!$G$12-$X26)*($E$3+'条件'!$G$9)/'条件'!$G$12</f>
        <v>8100.204525380732</v>
      </c>
      <c r="AI26" s="66">
        <f>(('条件'!$G$13/2-$Y26)*($E$3+'条件'!$G$9)-AH26*('条件'!$G$13-'条件'!$G$14)/2)/'条件'!$G$13</f>
        <v>6801.606232394567</v>
      </c>
    </row>
    <row r="27" spans="2:35" ht="18" customHeight="1">
      <c r="B27" s="30" t="s">
        <v>171</v>
      </c>
      <c r="C27" s="26"/>
      <c r="D27" s="26"/>
      <c r="E27" s="26"/>
      <c r="F27" s="26"/>
      <c r="G27" s="27"/>
      <c r="H27" s="26"/>
      <c r="I27" s="26"/>
      <c r="J27" s="26"/>
      <c r="K27" s="26"/>
      <c r="L27" s="31"/>
      <c r="N27" s="16">
        <v>110</v>
      </c>
      <c r="O27" s="65">
        <f>('条件'!$G$9*('条件'!$G$10-'条件'!$G$11+'条件'!$G$12/2)+$E$3*($B$12*COS($N27*PI()/180)-'条件'!$G$11+'条件'!$G$12/2))/(2*'条件'!$G$12)</f>
        <v>-691.0137030973005</v>
      </c>
      <c r="P27" s="66">
        <f>($E$3*$B$12*SIN($N27*PI()/180))/('条件'!$G$13+'条件'!$G$14)</f>
        <v>1174.67952481887</v>
      </c>
      <c r="Q27" s="66">
        <f>P27*(('条件'!$G$14-'条件'!$G$13)/('条件'!$G$14+'条件'!$G$13))/2</f>
        <v>-5.426735544650071</v>
      </c>
      <c r="R27" s="66">
        <f>$E$16-$O27+$P27*2*('条件'!$G$13/('条件'!$G$14+'条件'!$G$13))-Q27</f>
        <v>6516.273434550121</v>
      </c>
      <c r="S27" s="65">
        <f>$E$16+$O27+$P27*2*('条件'!$G$14/('条件'!$G$14+'条件'!$G$13))+Q27</f>
        <v>5101.685615087619</v>
      </c>
      <c r="T27" s="66">
        <f>$E$16+$O27-$P27*2*('条件'!$G$14/('条件'!$G$14+'条件'!$G$13))+Q27</f>
        <v>2774.03350762848</v>
      </c>
      <c r="U27" s="66">
        <f>$E$16-$O27-$P27*2*('条件'!$G$13/('条件'!$G$14+'条件'!$G$13))-Q27</f>
        <v>4145.207442733781</v>
      </c>
      <c r="V27" s="65"/>
      <c r="W27" s="16">
        <v>110</v>
      </c>
      <c r="X27" s="68">
        <f>'条件'!$G$11-($E$3*$B$12*COS($W27*PI()/180))/($E$3+'条件'!$G$9)-'条件'!$G$9*'条件'!$G$10/($E$3+'条件'!$G$9)</f>
        <v>3.935696746673339</v>
      </c>
      <c r="Y27" s="66">
        <f>($E$3*$B$12*SIN($W27*PI()/180))/($E$3+'条件'!$G$9)</f>
        <v>0.8915985647347766</v>
      </c>
      <c r="AA27" s="16">
        <v>110</v>
      </c>
      <c r="AB27" s="68">
        <f>($X27*($E$3+'条件'!$G$9))/'条件'!$G$12</f>
        <v>10650.6274061946</v>
      </c>
      <c r="AC27" s="66">
        <f>$E$3+'条件'!$G$9-$AB27-$AD27</f>
        <v>1088.565376531964</v>
      </c>
      <c r="AD27" s="66">
        <f>(('条件'!$G$14/2-$Y27)*($E$3+'条件'!$G$9)+AB27*('条件'!$G$14-'条件'!$G$13)/2)/'条件'!$G$14</f>
        <v>6798.007217273436</v>
      </c>
      <c r="AF27" s="16">
        <v>110</v>
      </c>
      <c r="AG27" s="68">
        <f>$E$3+'条件'!$G$9-$AH27-$AI27</f>
        <v>3782.0792558845806</v>
      </c>
      <c r="AH27" s="66">
        <f>('条件'!$G$12-$X27)*($E$3+'条件'!$G$9)/'条件'!$G$12</f>
        <v>7886.572593805399</v>
      </c>
      <c r="AI27" s="66">
        <f>(('条件'!$G$13/2-$Y27)*($E$3+'条件'!$G$9)-AH27*('条件'!$G$13-'条件'!$G$14)/2)/'条件'!$G$13</f>
        <v>6868.548150310022</v>
      </c>
    </row>
    <row r="28" spans="2:35" ht="18" customHeight="1">
      <c r="B28" s="76" t="s">
        <v>172</v>
      </c>
      <c r="C28" s="32"/>
      <c r="D28" s="32"/>
      <c r="E28" s="32"/>
      <c r="F28" s="32"/>
      <c r="G28" s="74"/>
      <c r="H28" s="32"/>
      <c r="I28" s="32"/>
      <c r="J28" s="32"/>
      <c r="K28" s="32"/>
      <c r="L28" s="77"/>
      <c r="N28" s="16">
        <v>115</v>
      </c>
      <c r="O28" s="65">
        <f>('条件'!$G$9*('条件'!$G$10-'条件'!$G$11+'条件'!$G$12/2)+$E$3*($B$12*COS($N28*PI()/180)-'条件'!$G$11+'条件'!$G$12/2))/(2*'条件'!$G$12)</f>
        <v>-794.4878884509612</v>
      </c>
      <c r="P28" s="66">
        <f>($E$3*$B$12*SIN($N28*PI()/180))/('条件'!$G$13+'条件'!$G$14)</f>
        <v>1132.9462178020103</v>
      </c>
      <c r="Q28" s="66">
        <f>P28*(('条件'!$G$14-'条件'!$G$13)/('条件'!$G$14+'条件'!$G$13))/2</f>
        <v>-5.233937751039845</v>
      </c>
      <c r="R28" s="66">
        <f>$E$16-$O28+$P28*2*('条件'!$G$13/('条件'!$G$14+'条件'!$G$13))-Q28</f>
        <v>6577.435919506091</v>
      </c>
      <c r="S28" s="65">
        <f>$E$16+$O28+$P28*2*('条件'!$G$14/('条件'!$G$14+'条件'!$G$13))+Q28</f>
        <v>4957.0565160979295</v>
      </c>
      <c r="T28" s="66">
        <f>$E$16+$O28-$P28*2*('条件'!$G$14/('条件'!$G$14+'条件'!$G$13))+Q28</f>
        <v>2712.099831498069</v>
      </c>
      <c r="U28" s="66">
        <f>$E$16-$O28-$P28*2*('条件'!$G$13/('条件'!$G$14+'条件'!$G$13))-Q28</f>
        <v>4290.607732897911</v>
      </c>
      <c r="V28" s="65"/>
      <c r="W28" s="16">
        <v>115</v>
      </c>
      <c r="X28" s="68">
        <f>'条件'!$G$11-($E$3*$B$12*COS($W28*PI()/180))/($E$3+'条件'!$G$9)-'条件'!$G$9*'条件'!$G$10/($E$3+'条件'!$G$9)</f>
        <v>4.012169802978776</v>
      </c>
      <c r="Y28" s="66">
        <f>($E$3*$B$12*SIN($W28*PI()/180))/($E$3+'条件'!$G$9)</f>
        <v>0.8599223876569431</v>
      </c>
      <c r="AA28" s="16">
        <v>115</v>
      </c>
      <c r="AB28" s="68">
        <f>($X28*($E$3+'条件'!$G$9))/'条件'!$G$12</f>
        <v>10857.575776901922</v>
      </c>
      <c r="AC28" s="66">
        <f>$E$3+'条件'!$G$9-$AB28-$AD28</f>
        <v>799.3019433237469</v>
      </c>
      <c r="AD28" s="66">
        <f>(('条件'!$G$14/2-$Y28)*($E$3+'条件'!$G$9)+AB28*('条件'!$G$14-'条件'!$G$13)/2)/'条件'!$G$14</f>
        <v>6880.322279774332</v>
      </c>
      <c r="AF28" s="16">
        <v>115</v>
      </c>
      <c r="AG28" s="68">
        <f>$E$3+'条件'!$G$9-$AH28-$AI28</f>
        <v>3904.4305457717346</v>
      </c>
      <c r="AH28" s="66">
        <f>('条件'!$G$12-$X28)*($E$3+'条件'!$G$9)/'条件'!$G$12</f>
        <v>7679.624223098077</v>
      </c>
      <c r="AI28" s="66">
        <f>(('条件'!$G$13/2-$Y28)*($E$3+'条件'!$G$9)-AH28*('条件'!$G$13-'条件'!$G$14)/2)/'条件'!$G$13</f>
        <v>6953.145231130189</v>
      </c>
    </row>
    <row r="29" spans="14:35" ht="18" customHeight="1">
      <c r="N29" s="16">
        <v>120</v>
      </c>
      <c r="O29" s="65">
        <f>('条件'!$G$9*('条件'!$G$10-'条件'!$G$11+'条件'!$G$12/2)+$E$3*($B$12*COS($N29*PI()/180)-'条件'!$G$11+'条件'!$G$12/2))/(2*'条件'!$G$12)</f>
        <v>-893.8327923406548</v>
      </c>
      <c r="P29" s="66">
        <f>($E$3*$B$12*SIN($N29*PI()/180))/('条件'!$G$13+'条件'!$G$14)</f>
        <v>1082.5905059760473</v>
      </c>
      <c r="Q29" s="66">
        <f>P29*(('条件'!$G$14-'条件'!$G$13)/('条件'!$G$14+'条件'!$G$13))/2</f>
        <v>-5.001306530806185</v>
      </c>
      <c r="R29" s="66">
        <f>$E$16-$O29+$P29*2*('条件'!$G$13/('条件'!$G$14+'条件'!$G$13))-Q29</f>
        <v>6625.727217909121</v>
      </c>
      <c r="S29" s="65">
        <f>$E$16+$O29+$P29*2*('条件'!$G$14/('条件'!$G$14+'条件'!$G$13))+Q29</f>
        <v>4808.053794042974</v>
      </c>
      <c r="T29" s="66">
        <f>$E$16+$O29-$P29*2*('条件'!$G$14/('条件'!$G$14+'条件'!$G$13))+Q29</f>
        <v>2662.8780082141043</v>
      </c>
      <c r="U29" s="66">
        <f>$E$16-$O29-$P29*2*('条件'!$G$13/('条件'!$G$14+'条件'!$G$13))-Q29</f>
        <v>4440.540979833801</v>
      </c>
      <c r="V29" s="65"/>
      <c r="W29" s="16">
        <v>120</v>
      </c>
      <c r="X29" s="68">
        <f>'条件'!$G$11-($E$3*$B$12*COS($W29*PI()/180))/($E$3+'条件'!$G$9)-'条件'!$G$9*'条件'!$G$10/($E$3+'条件'!$G$9)</f>
        <v>4.0855910954765</v>
      </c>
      <c r="Y29" s="66">
        <f>($E$3*$B$12*SIN($W29*PI()/180))/($E$3+'条件'!$G$9)</f>
        <v>0.8217016819737062</v>
      </c>
      <c r="AA29" s="16">
        <v>120</v>
      </c>
      <c r="AB29" s="68">
        <f>($X29*($E$3+'条件'!$G$9))/'条件'!$G$12</f>
        <v>11056.26558468131</v>
      </c>
      <c r="AC29" s="66">
        <f>$E$3+'条件'!$G$9-$AB29-$AD29</f>
        <v>500.8144270959174</v>
      </c>
      <c r="AD29" s="66">
        <f>(('条件'!$G$14/2-$Y29)*($E$3+'条件'!$G$9)+AB29*('条件'!$G$14-'条件'!$G$13)/2)/'条件'!$G$14</f>
        <v>6980.119988222773</v>
      </c>
      <c r="AF29" s="16">
        <v>120</v>
      </c>
      <c r="AG29" s="68">
        <f>$E$3+'条件'!$G$9-$AH29-$AI29</f>
        <v>4001.5119446923936</v>
      </c>
      <c r="AH29" s="66">
        <f>('条件'!$G$12-$X29)*($E$3+'条件'!$G$9)/'条件'!$G$12</f>
        <v>7480.934415318691</v>
      </c>
      <c r="AI29" s="66">
        <f>(('条件'!$G$13/2-$Y29)*($E$3+'条件'!$G$9)-AH29*('条件'!$G$13-'条件'!$G$14)/2)/'条件'!$G$13</f>
        <v>7054.753639988917</v>
      </c>
    </row>
    <row r="30" spans="2:35" ht="18" customHeight="1">
      <c r="B30" s="71" t="s">
        <v>173</v>
      </c>
      <c r="C30" s="72"/>
      <c r="D30" s="72"/>
      <c r="E30" s="72"/>
      <c r="F30" s="72"/>
      <c r="G30" s="72"/>
      <c r="H30" s="72"/>
      <c r="I30" s="72"/>
      <c r="J30" s="72"/>
      <c r="K30" s="72"/>
      <c r="L30" s="73"/>
      <c r="N30" s="16">
        <v>125</v>
      </c>
      <c r="O30" s="65">
        <f>('条件'!$G$9*('条件'!$G$10-'条件'!$G$11+'条件'!$G$12/2)+$E$3*($B$12*COS($N30*PI()/180)-'条件'!$G$11+'条件'!$G$12/2))/(2*'条件'!$G$12)</f>
        <v>-988.2923400616868</v>
      </c>
      <c r="P30" s="66">
        <f>($E$3*$B$12*SIN($N30*PI()/180))/('条件'!$G$13+'条件'!$G$14)</f>
        <v>1023.9956267135868</v>
      </c>
      <c r="Q30" s="66">
        <f>P30*(('条件'!$G$14-'条件'!$G$13)/('条件'!$G$14+'条件'!$G$13))/2</f>
        <v>-4.7306123480016415</v>
      </c>
      <c r="R30" s="66">
        <f>$E$16-$O30+$P30*2*('条件'!$G$13/('条件'!$G$14+'条件'!$G$13))-Q30</f>
        <v>6660.779803819279</v>
      </c>
      <c r="S30" s="65">
        <f>$E$16+$O30+$P30*2*('条件'!$G$14/('条件'!$G$14+'条件'!$G$13))+Q30</f>
        <v>4655.811449607895</v>
      </c>
      <c r="T30" s="66">
        <f>$E$16+$O30-$P30*2*('条件'!$G$14/('条件'!$G$14+'条件'!$G$13))+Q30</f>
        <v>2626.742645572728</v>
      </c>
      <c r="U30" s="66">
        <f>$E$16-$O30-$P30*2*('条件'!$G$13/('条件'!$G$14+'条件'!$G$13))-Q30</f>
        <v>4593.866101000099</v>
      </c>
      <c r="V30" s="65"/>
      <c r="W30" s="16">
        <v>125</v>
      </c>
      <c r="X30" s="68">
        <f>'条件'!$G$11-($E$3*$B$12*COS($W30*PI()/180))/($E$3+'条件'!$G$9)-'条件'!$G$9*'条件'!$G$10/($E$3+'条件'!$G$9)</f>
        <v>4.155401843797613</v>
      </c>
      <c r="Y30" s="66">
        <f>($E$3*$B$12*SIN($W30*PI()/180))/($E$3+'条件'!$G$9)</f>
        <v>0.7772273303336085</v>
      </c>
      <c r="AA30" s="16">
        <v>125</v>
      </c>
      <c r="AB30" s="68">
        <f>($X30*($E$3+'条件'!$G$9))/'条件'!$G$12</f>
        <v>11245.184680123373</v>
      </c>
      <c r="AC30" s="66">
        <f>$E$3+'条件'!$G$9-$AB30-$AD30</f>
        <v>195.37449807866233</v>
      </c>
      <c r="AD30" s="66">
        <f>(('条件'!$G$14/2-$Y30)*($E$3+'条件'!$G$9)+AB30*('条件'!$G$14-'条件'!$G$13)/2)/'条件'!$G$14</f>
        <v>7096.640821797965</v>
      </c>
      <c r="AF30" s="16">
        <v>125</v>
      </c>
      <c r="AG30" s="68">
        <f>$E$3+'条件'!$G$9-$AH30-$AI30</f>
        <v>4072.5846045814214</v>
      </c>
      <c r="AH30" s="66">
        <f>('条件'!$G$12-$X30)*($E$3+'条件'!$G$9)/'条件'!$G$12</f>
        <v>7292.0153198766275</v>
      </c>
      <c r="AI30" s="66">
        <f>(('条件'!$G$13/2-$Y30)*($E$3+'条件'!$G$9)-AH30*('条件'!$G$13-'条件'!$G$14)/2)/'条件'!$G$13</f>
        <v>7172.600075541952</v>
      </c>
    </row>
    <row r="31" spans="2:35" ht="18" customHeight="1">
      <c r="B31" s="195" t="s">
        <v>174</v>
      </c>
      <c r="C31" s="26" t="s">
        <v>175</v>
      </c>
      <c r="D31" s="26"/>
      <c r="E31" s="26"/>
      <c r="F31" s="26"/>
      <c r="G31" s="26"/>
      <c r="H31" s="27"/>
      <c r="I31" s="27"/>
      <c r="J31" s="26"/>
      <c r="K31" s="26"/>
      <c r="L31" s="31"/>
      <c r="N31" s="16">
        <v>130</v>
      </c>
      <c r="O31" s="65">
        <f>('条件'!$G$9*('条件'!$G$10-'条件'!$G$11+'条件'!$G$12/2)+$E$3*($B$12*COS($N31*PI()/180)-'条件'!$G$11+'条件'!$G$12/2))/(2*'条件'!$G$12)</f>
        <v>-1077.1476374196668</v>
      </c>
      <c r="P31" s="66">
        <f>($E$3*$B$12*SIN($N31*PI()/180))/('条件'!$G$13+'条件'!$G$14)</f>
        <v>957.6075224263709</v>
      </c>
      <c r="Q31" s="66">
        <f>P31*(('条件'!$G$14-'条件'!$G$13)/('条件'!$G$14+'条件'!$G$13))/2</f>
        <v>-4.423915348806969</v>
      </c>
      <c r="R31" s="66">
        <f>$E$16-$O31+$P31*2*('条件'!$G$13/('条件'!$G$14+'条件'!$G$13))-Q31</f>
        <v>6682.32690589246</v>
      </c>
      <c r="S31" s="65">
        <f>$E$16+$O31+$P31*2*('条件'!$G$14/('条件'!$G$14+'条件'!$G$13))+Q31</f>
        <v>4501.488138960283</v>
      </c>
      <c r="T31" s="66">
        <f>$E$16+$O31-$P31*2*('条件'!$G$14/('条件'!$G$14+'条件'!$G$13))+Q31</f>
        <v>2603.9687555027695</v>
      </c>
      <c r="U31" s="66">
        <f>$E$16-$O31-$P31*2*('条件'!$G$13/('条件'!$G$14+'条件'!$G$13))-Q31</f>
        <v>4749.416199644489</v>
      </c>
      <c r="V31" s="65"/>
      <c r="W31" s="16">
        <v>130</v>
      </c>
      <c r="X31" s="68">
        <f>'条件'!$G$11-($E$3*$B$12*COS($W31*PI()/180))/($E$3+'条件'!$G$9)-'条件'!$G$9*'条件'!$G$10/($E$3+'条件'!$G$9)</f>
        <v>4.22107074599451</v>
      </c>
      <c r="Y31" s="66">
        <f>($E$3*$B$12*SIN($W31*PI()/180))/($E$3+'条件'!$G$9)</f>
        <v>0.7268378094069783</v>
      </c>
      <c r="AA31" s="16">
        <v>130</v>
      </c>
      <c r="AB31" s="68">
        <f>($X31*($E$3+'条件'!$G$9))/'条件'!$G$12</f>
        <v>11422.895274839333</v>
      </c>
      <c r="AC31" s="66">
        <f>$E$3+'条件'!$G$9-$AB31-$AD31</f>
        <v>-114.6932614385305</v>
      </c>
      <c r="AD31" s="66">
        <f>(('条件'!$G$14/2-$Y31)*($E$3+'条件'!$G$9)+AB31*('条件'!$G$14-'条件'!$G$13)/2)/'条件'!$G$14</f>
        <v>7228.997986599198</v>
      </c>
      <c r="AF31" s="16">
        <v>130</v>
      </c>
      <c r="AG31" s="68">
        <f>$E$3+'条件'!$G$9-$AH31-$AI31</f>
        <v>4117.107619582221</v>
      </c>
      <c r="AH31" s="66">
        <f>('条件'!$G$12-$X31)*($E$3+'条件'!$G$9)/'条件'!$G$12</f>
        <v>7114.304725160667</v>
      </c>
      <c r="AI31" s="66">
        <f>(('条件'!$G$13/2-$Y31)*($E$3+'条件'!$G$9)-AH31*('条件'!$G$13-'条件'!$G$14)/2)/'条件'!$G$13</f>
        <v>7305.787655257114</v>
      </c>
    </row>
    <row r="32" spans="1:35" ht="18" customHeight="1">
      <c r="A32" s="13"/>
      <c r="B32" s="195"/>
      <c r="C32" s="26" t="s">
        <v>176</v>
      </c>
      <c r="D32" s="26"/>
      <c r="E32" s="26"/>
      <c r="F32" s="26"/>
      <c r="G32" s="26"/>
      <c r="H32" s="27"/>
      <c r="I32" s="27"/>
      <c r="J32" s="26"/>
      <c r="K32" s="26"/>
      <c r="L32" s="31"/>
      <c r="N32" s="16">
        <v>135</v>
      </c>
      <c r="O32" s="65">
        <f>('条件'!$G$9*('条件'!$G$10-'条件'!$G$11+'条件'!$G$12/2)+$E$3*($B$12*COS($N32*PI()/180)-'条件'!$G$11+'条件'!$G$12/2))/(2*'条件'!$G$12)</f>
        <v>-1159.7224419494034</v>
      </c>
      <c r="P32" s="66">
        <f>($E$3*$B$12*SIN($N32*PI()/180))/('条件'!$G$13+'条件'!$G$14)</f>
        <v>883.9314466742595</v>
      </c>
      <c r="Q32" s="66">
        <f>P32*(('条件'!$G$14-'条件'!$G$13)/('条件'!$G$14+'条件'!$G$13))/2</f>
        <v>-4.083549682574756</v>
      </c>
      <c r="R32" s="66">
        <f>$E$16-$O32+$P32*2*('条件'!$G$13/('条件'!$G$14+'条件'!$G$13))-Q32</f>
        <v>6690.204537671387</v>
      </c>
      <c r="S32" s="65">
        <f>$E$16+$O32+$P32*2*('条件'!$G$14/('条件'!$G$14+'条件'!$G$13))+Q32</f>
        <v>4346.258355677132</v>
      </c>
      <c r="T32" s="66">
        <f>$E$16+$O32-$P32*2*('条件'!$G$14/('条件'!$G$14+'条件'!$G$13))+Q32</f>
        <v>2594.7296610589124</v>
      </c>
      <c r="U32" s="66">
        <f>$E$16-$O32-$P32*2*('条件'!$G$13/('条件'!$G$14+'条件'!$G$13))-Q32</f>
        <v>4906.00744559257</v>
      </c>
      <c r="V32" s="65"/>
      <c r="W32" s="16">
        <v>135</v>
      </c>
      <c r="X32" s="68">
        <f>'条件'!$G$11-($E$3*$B$12*COS($W32*PI()/180))/($E$3+'条件'!$G$9)-'条件'!$G$9*'条件'!$G$10/($E$3+'条件'!$G$9)</f>
        <v>4.282098022069505</v>
      </c>
      <c r="Y32" s="66">
        <f>($E$3*$B$12*SIN($W32*PI()/180))/($E$3+'条件'!$G$9)</f>
        <v>0.6709166138740927</v>
      </c>
      <c r="AA32" s="16">
        <v>135</v>
      </c>
      <c r="AB32" s="68">
        <f>($X32*($E$3+'条件'!$G$9))/'条件'!$G$12</f>
        <v>11588.044883898807</v>
      </c>
      <c r="AC32" s="66">
        <f>$E$3+'条件'!$G$9-$AB32-$AD32</f>
        <v>-427.0290485816977</v>
      </c>
      <c r="AD32" s="66">
        <f>(('条件'!$G$14/2-$Y32)*($E$3+'条件'!$G$9)+AB32*('条件'!$G$14-'条件'!$G$13)/2)/'条件'!$G$14</f>
        <v>7376.184164682892</v>
      </c>
      <c r="AF32" s="16">
        <v>135</v>
      </c>
      <c r="AG32" s="68">
        <f>$E$3+'条件'!$G$9-$AH32-$AI32</f>
        <v>4134.742142666894</v>
      </c>
      <c r="AH32" s="66">
        <f>('条件'!$G$12-$X32)*($E$3+'条件'!$G$9)/'条件'!$G$12</f>
        <v>6949.155116101193</v>
      </c>
      <c r="AI32" s="66">
        <f>(('条件'!$G$13/2-$Y32)*($E$3+'条件'!$G$9)-AH32*('条件'!$G$13-'条件'!$G$14)/2)/'条件'!$G$13</f>
        <v>7453.302741231914</v>
      </c>
    </row>
    <row r="33" spans="2:35" ht="18" customHeight="1">
      <c r="B33" s="195" t="s">
        <v>177</v>
      </c>
      <c r="C33" s="26" t="s">
        <v>165</v>
      </c>
      <c r="D33" s="26"/>
      <c r="E33" s="26"/>
      <c r="F33" s="26"/>
      <c r="G33" s="26"/>
      <c r="H33" s="26"/>
      <c r="I33" s="26"/>
      <c r="J33" s="26"/>
      <c r="K33" s="26"/>
      <c r="L33" s="31"/>
      <c r="N33" s="16">
        <v>140</v>
      </c>
      <c r="O33" s="65">
        <f>('条件'!$G$9*('条件'!$G$10-'条件'!$G$11+'条件'!$G$12/2)+$E$3*($B$12*COS($N33*PI()/180)-'条件'!$G$11+'条件'!$G$12/2))/(2*'条件'!$G$12)</f>
        <v>-1235.3883095283968</v>
      </c>
      <c r="P33" s="66">
        <f>($E$3*$B$12*SIN($N33*PI()/180))/('条件'!$G$13+'条件'!$G$14)</f>
        <v>803.5281188805569</v>
      </c>
      <c r="Q33" s="66">
        <f>P33*(('条件'!$G$14-'条件'!$G$13)/('条件'!$G$14+'条件'!$G$13))/2</f>
        <v>-3.712105737543437</v>
      </c>
      <c r="R33" s="66">
        <f>$E$16-$O33+$P33*2*('条件'!$G$13/('条件'!$G$14+'条件'!$G$13))-Q33</f>
        <v>6684.352745621584</v>
      </c>
      <c r="S33" s="65">
        <f>$E$16+$O33+$P33*2*('条件'!$G$14/('条件'!$G$14+'条件'!$G$13))+Q33</f>
        <v>4191.30349213953</v>
      </c>
      <c r="T33" s="66">
        <f>$E$16+$O33-$P33*2*('条件'!$G$14/('条件'!$G$14+'条件'!$G$13))+Q33</f>
        <v>2599.0956773285898</v>
      </c>
      <c r="U33" s="66">
        <f>$E$16-$O33-$P33*2*('条件'!$G$13/('条件'!$G$14+'条件'!$G$13))-Q33</f>
        <v>5062.448084910297</v>
      </c>
      <c r="V33" s="65"/>
      <c r="W33" s="16">
        <v>140</v>
      </c>
      <c r="X33" s="68">
        <f>'条件'!$G$11-($E$3*$B$12*COS($W33*PI()/180))/($E$3+'条件'!$G$9)-'条件'!$G$9*'条件'!$G$10/($E$3+'条件'!$G$9)</f>
        <v>4.33801921760239</v>
      </c>
      <c r="Y33" s="66">
        <f>($E$3*$B$12*SIN($W33*PI()/180))/($E$3+'条件'!$G$9)</f>
        <v>0.6098893377990978</v>
      </c>
      <c r="AA33" s="16">
        <v>140</v>
      </c>
      <c r="AB33" s="68">
        <f>($X33*($E$3+'条件'!$G$9))/'条件'!$G$12</f>
        <v>11739.376619056793</v>
      </c>
      <c r="AC33" s="66">
        <f>$E$3+'条件'!$G$9-$AB33-$AD33</f>
        <v>-739.2557994171757</v>
      </c>
      <c r="AD33" s="66">
        <f>(('条件'!$G$14/2-$Y33)*($E$3+'条件'!$G$9)+AB33*('条件'!$G$14-'条件'!$G$13)/2)/'条件'!$G$14</f>
        <v>7537.079180360383</v>
      </c>
      <c r="AF33" s="16">
        <v>140</v>
      </c>
      <c r="AG33" s="68">
        <f>$E$3+'条件'!$G$9-$AH33-$AI33</f>
        <v>4125.353964466759</v>
      </c>
      <c r="AH33" s="66">
        <f>('条件'!$G$12-$X33)*($E$3+'条件'!$G$9)/'条件'!$G$12</f>
        <v>6797.823380943206</v>
      </c>
      <c r="AI33" s="66">
        <f>(('条件'!$G$13/2-$Y33)*($E$3+'条件'!$G$9)-AH33*('条件'!$G$13-'条件'!$G$14)/2)/'条件'!$G$13</f>
        <v>7614.022654590036</v>
      </c>
    </row>
    <row r="34" spans="2:35" ht="18" customHeight="1">
      <c r="B34" s="196"/>
      <c r="C34" s="32" t="s">
        <v>159</v>
      </c>
      <c r="D34" s="32"/>
      <c r="E34" s="32"/>
      <c r="F34" s="32"/>
      <c r="G34" s="32"/>
      <c r="H34" s="32"/>
      <c r="I34" s="32"/>
      <c r="J34" s="32"/>
      <c r="K34" s="32"/>
      <c r="L34" s="77"/>
      <c r="N34" s="16">
        <v>145</v>
      </c>
      <c r="O34" s="65">
        <f>('条件'!$G$9*('条件'!$G$10-'条件'!$G$11+'条件'!$G$12/2)+$E$3*($B$12*COS($N34*PI()/180)-'条件'!$G$11+'条件'!$G$12/2))/(2*'条件'!$G$12)</f>
        <v>-1303.5693772160698</v>
      </c>
      <c r="P34" s="66">
        <f>($E$3*$B$12*SIN($N34*PI()/180))/('条件'!$G$13+'条件'!$G$14)</f>
        <v>717.0094569186298</v>
      </c>
      <c r="Q34" s="66">
        <f>P34*(('条件'!$G$14-'条件'!$G$13)/('条件'!$G$14+'条件'!$G$13))/2</f>
        <v>-3.312410426418685</v>
      </c>
      <c r="R34" s="66">
        <f>$E$16-$O34+$P34*2*('条件'!$G$13/('条件'!$G$14+'条件'!$G$13))-Q34</f>
        <v>6664.816065413956</v>
      </c>
      <c r="S34" s="65">
        <f>$E$16+$O34+$P34*2*('条件'!$G$14/('条件'!$G$14+'条件'!$G$13))+Q34</f>
        <v>4037.8028484233037</v>
      </c>
      <c r="T34" s="66">
        <f>$E$16+$O34-$P34*2*('条件'!$G$14/('条件'!$G$14+'条件'!$G$13))+Q34</f>
        <v>2617.0335762917193</v>
      </c>
      <c r="U34" s="66">
        <f>$E$16-$O34-$P34*2*('条件'!$G$13/('条件'!$G$14+'条件'!$G$13))-Q34</f>
        <v>5217.547509871021</v>
      </c>
      <c r="V34" s="65"/>
      <c r="W34" s="16">
        <v>145</v>
      </c>
      <c r="X34" s="68">
        <f>'条件'!$G$11-($E$3*$B$12*COS($W34*PI()/180))/($E$3+'条件'!$G$9)-'条件'!$G$9*'条件'!$G$10/($E$3+'条件'!$G$9)</f>
        <v>4.38840873852902</v>
      </c>
      <c r="Y34" s="66">
        <f>($E$3*$B$12*SIN($W34*PI()/180))/($E$3+'条件'!$G$9)</f>
        <v>0.544220435602201</v>
      </c>
      <c r="AA34" s="16">
        <v>145</v>
      </c>
      <c r="AB34" s="68">
        <f>($X34*($E$3+'条件'!$G$9))/'条件'!$G$12</f>
        <v>11875.73875443214</v>
      </c>
      <c r="AC34" s="66">
        <f>$E$3+'条件'!$G$9-$AB34-$AD34</f>
        <v>-1048.997279843442</v>
      </c>
      <c r="AD34" s="66">
        <f>(('条件'!$G$14/2-$Y34)*($E$3+'条件'!$G$9)+AB34*('条件'!$G$14-'条件'!$G$13)/2)/'条件'!$G$14</f>
        <v>7710.4585254113035</v>
      </c>
      <c r="AF34" s="16">
        <v>145</v>
      </c>
      <c r="AG34" s="68">
        <f>$E$3+'条件'!$G$9-$AH34-$AI34</f>
        <v>4089.014534686653</v>
      </c>
      <c r="AH34" s="66">
        <f>('条件'!$G$12-$X34)*($E$3+'条件'!$G$9)/'条件'!$G$12</f>
        <v>6661.46124556786</v>
      </c>
      <c r="AI34" s="66">
        <f>(('条件'!$G$13/2-$Y34)*($E$3+'条件'!$G$9)-AH34*('条件'!$G$13-'条件'!$G$14)/2)/'条件'!$G$13</f>
        <v>7786.724219745488</v>
      </c>
    </row>
    <row r="35" spans="14:35" ht="18" customHeight="1">
      <c r="N35" s="16">
        <v>150</v>
      </c>
      <c r="O35" s="65">
        <f>('条件'!$G$9*('条件'!$G$10-'条件'!$G$11+'条件'!$G$12/2)+$E$3*($B$12*COS($N35*PI()/180)-'条件'!$G$11+'条件'!$G$12/2))/(2*'条件'!$G$12)</f>
        <v>-1363.7467459184663</v>
      </c>
      <c r="P35" s="66">
        <f>($E$3*$B$12*SIN($N35*PI()/180))/('条件'!$G$13+'条件'!$G$14)</f>
        <v>625.0339200474039</v>
      </c>
      <c r="Q35" s="66">
        <f>P35*(('条件'!$G$14-'条件'!$G$13)/('条件'!$G$14+'条件'!$G$13))/2</f>
        <v>-2.887505671860783</v>
      </c>
      <c r="R35" s="66">
        <f>$E$16-$O35+$P35*2*('条件'!$G$13/('条件'!$G$14+'条件'!$G$13))-Q35</f>
        <v>6631.743182981452</v>
      </c>
      <c r="S35" s="65">
        <f>$E$16+$O35+$P35*2*('条件'!$G$14/('条件'!$G$14+'条件'!$G$13))+Q35</f>
        <v>3886.9246571133554</v>
      </c>
      <c r="T35" s="66">
        <f>$E$16+$O35-$P35*2*('条件'!$G$14/('条件'!$G$14+'条件'!$G$13))+Q35</f>
        <v>2648.406839705991</v>
      </c>
      <c r="U35" s="66">
        <f>$E$16-$O35-$P35*2*('条件'!$G$13/('条件'!$G$14+'条件'!$G$13))-Q35</f>
        <v>5370.125320199202</v>
      </c>
      <c r="V35" s="65"/>
      <c r="W35" s="16">
        <v>150</v>
      </c>
      <c r="X35" s="68">
        <f>'条件'!$G$11-($E$3*$B$12*COS($W35*PI()/180))/($E$3+'条件'!$G$9)-'条件'!$G$9*'条件'!$G$10/($E$3+'条件'!$G$9)</f>
        <v>4.432883090169118</v>
      </c>
      <c r="Y35" s="66">
        <f>($E$3*$B$12*SIN($W35*PI()/180))/($E$3+'条件'!$G$9)</f>
        <v>0.47440968728108734</v>
      </c>
      <c r="AA35" s="16">
        <v>150</v>
      </c>
      <c r="AB35" s="68">
        <f>($X35*($E$3+'条件'!$G$9))/'条件'!$G$12</f>
        <v>11996.093491836931</v>
      </c>
      <c r="AC35" s="66">
        <f>$E$3+'条件'!$G$9-$AB35-$AD35</f>
        <v>-1353.896170167437</v>
      </c>
      <c r="AD35" s="66">
        <f>(('条件'!$G$14/2-$Y35)*($E$3+'条件'!$G$9)+AB35*('条件'!$G$14-'条件'!$G$13)/2)/'条件'!$G$14</f>
        <v>7895.002678330507</v>
      </c>
      <c r="AF35" s="16">
        <v>150</v>
      </c>
      <c r="AG35" s="68">
        <f>$E$3+'条件'!$G$9-$AH35-$AI35</f>
        <v>4026.000418329546</v>
      </c>
      <c r="AH35" s="66">
        <f>('条件'!$G$12-$X35)*($E$3+'条件'!$G$9)/'条件'!$G$12</f>
        <v>6541.1065081630695</v>
      </c>
      <c r="AI35" s="66">
        <f>(('条件'!$G$13/2-$Y35)*($E$3+'条件'!$G$9)-AH35*('条件'!$G$13-'条件'!$G$14)/2)/'条件'!$G$13</f>
        <v>7970.093073507385</v>
      </c>
    </row>
    <row r="36" spans="1:35" ht="18" customHeight="1">
      <c r="A36" s="58" t="s">
        <v>122</v>
      </c>
      <c r="B36" s="71" t="s">
        <v>178</v>
      </c>
      <c r="C36" s="72"/>
      <c r="D36" s="72"/>
      <c r="E36" s="72"/>
      <c r="F36" s="72"/>
      <c r="G36" s="72"/>
      <c r="H36" s="72"/>
      <c r="I36" s="72"/>
      <c r="J36" s="72"/>
      <c r="K36" s="72"/>
      <c r="L36" s="73"/>
      <c r="N36" s="16">
        <v>155</v>
      </c>
      <c r="O36" s="65">
        <f>('条件'!$G$9*('条件'!$G$10-'条件'!$G$11+'条件'!$G$12/2)+$E$3*($B$12*COS($N36*PI()/180)-'条件'!$G$11+'条件'!$G$12/2))/(2*'条件'!$G$12)</f>
        <v>-1415.4624295236704</v>
      </c>
      <c r="P36" s="66">
        <f>($E$3*$B$12*SIN($N36*PI()/180))/('条件'!$G$13+'条件'!$G$14)</f>
        <v>528.3014976388184</v>
      </c>
      <c r="Q36" s="66">
        <f>P36*(('条件'!$G$14-'条件'!$G$13)/('条件'!$G$14+'条件'!$G$13))/2</f>
        <v>-2.44062525561643</v>
      </c>
      <c r="R36" s="66">
        <f>$E$16-$O36+$P36*2*('条件'!$G$13/('条件'!$G$14+'条件'!$G$13))-Q36</f>
        <v>6585.385802929339</v>
      </c>
      <c r="S36" s="65">
        <f>$E$16+$O36+$P36*2*('条件'!$G$14/('条件'!$G$14+'条件'!$G$13))+Q36</f>
        <v>3739.8171923482987</v>
      </c>
      <c r="T36" s="66">
        <f>$E$16+$O36-$P36*2*('条件'!$G$14/('条件'!$G$14+'条件'!$G$13))+Q36</f>
        <v>2692.976698093128</v>
      </c>
      <c r="U36" s="66">
        <f>$E$16-$O36-$P36*2*('条件'!$G$13/('条件'!$G$14+'条件'!$G$13))-Q36</f>
        <v>5519.020306629236</v>
      </c>
      <c r="V36" s="65"/>
      <c r="W36" s="16">
        <v>155</v>
      </c>
      <c r="X36" s="68">
        <f>'条件'!$G$11-($E$3*$B$12*COS($W36*PI()/180))/($E$3+'条件'!$G$9)-'条件'!$G$9*'条件'!$G$10/($E$3+'条件'!$G$9)</f>
        <v>4.471103795852355</v>
      </c>
      <c r="Y36" s="66">
        <f>($E$3*$B$12*SIN($W36*PI()/180))/($E$3+'条件'!$G$9)</f>
        <v>0.400988394783364</v>
      </c>
      <c r="AA36" s="16">
        <v>155</v>
      </c>
      <c r="AB36" s="68">
        <f>($X36*($E$3+'条件'!$G$9))/'条件'!$G$12</f>
        <v>12099.52485904734</v>
      </c>
      <c r="AC36" s="66">
        <f>$E$3+'条件'!$G$9-$AB36-$AD36</f>
        <v>-1651.632005730804</v>
      </c>
      <c r="AD36" s="66">
        <f>(('条件'!$G$14/2-$Y36)*($E$3+'条件'!$G$9)+AB36*('条件'!$G$14-'条件'!$G$13)/2)/'条件'!$G$14</f>
        <v>8089.307146683464</v>
      </c>
      <c r="AF36" s="16">
        <v>155</v>
      </c>
      <c r="AG36" s="68">
        <f>$E$3+'条件'!$G$9-$AH36-$AI36</f>
        <v>3936.7911908698898</v>
      </c>
      <c r="AH36" s="66">
        <f>('条件'!$G$12-$X36)*($E$3+'条件'!$G$9)/'条件'!$G$12</f>
        <v>6437.6751409526605</v>
      </c>
      <c r="AI36" s="66">
        <f>(('条件'!$G$13/2-$Y36)*($E$3+'条件'!$G$9)-AH36*('条件'!$G$13-'条件'!$G$14)/2)/'条件'!$G$13</f>
        <v>8162.73366817745</v>
      </c>
    </row>
    <row r="37" spans="2:35" ht="18" customHeight="1">
      <c r="B37" s="195" t="s">
        <v>179</v>
      </c>
      <c r="C37" s="26" t="s">
        <v>180</v>
      </c>
      <c r="D37" s="26"/>
      <c r="E37" s="26"/>
      <c r="F37" s="26"/>
      <c r="G37" s="26"/>
      <c r="H37" s="26"/>
      <c r="I37" s="26"/>
      <c r="J37" s="26"/>
      <c r="K37" s="26"/>
      <c r="L37" s="31"/>
      <c r="N37" s="16">
        <v>160</v>
      </c>
      <c r="O37" s="65">
        <f>('条件'!$G$9*('条件'!$G$10-'条件'!$G$11+'条件'!$G$12/2)+$E$3*($B$12*COS($N37*PI()/180)-'条件'!$G$11+'条件'!$G$12/2))/(2*'条件'!$G$12)</f>
        <v>-1458.3228404526644</v>
      </c>
      <c r="P37" s="66">
        <f>($E$3*$B$12*SIN($N37*PI()/180))/('条件'!$G$13+'条件'!$G$14)</f>
        <v>427.54838183603556</v>
      </c>
      <c r="Q37" s="66">
        <f>P37*(('条件'!$G$14-'条件'!$G$13)/('条件'!$G$14+'条件'!$G$13))/2</f>
        <v>-1.975170207487014</v>
      </c>
      <c r="R37" s="66">
        <f>$E$16-$O37+$P37*2*('条件'!$G$13/('条件'!$G$14+'条件'!$G$13))-Q37</f>
        <v>6526.096732911162</v>
      </c>
      <c r="S37" s="65">
        <f>$E$16+$O37+$P37*2*('条件'!$G$14/('条件'!$G$14+'条件'!$G$13))+Q37</f>
        <v>3597.6000307609106</v>
      </c>
      <c r="T37" s="66">
        <f>$E$16+$O37-$P37*2*('条件'!$G$14/('条件'!$G$14+'条件'!$G$13))+Q37</f>
        <v>2750.4039479187873</v>
      </c>
      <c r="U37" s="66">
        <f>$E$16-$O37-$P37*2*('条件'!$G$13/('条件'!$G$14+'条件'!$G$13))-Q37</f>
        <v>5663.099288409142</v>
      </c>
      <c r="V37" s="65"/>
      <c r="W37" s="16">
        <v>160</v>
      </c>
      <c r="X37" s="68">
        <f>'条件'!$G$11-($E$3*$B$12*COS($W37*PI()/180))/($E$3+'条件'!$G$9)-'条件'!$G$9*'条件'!$G$10/($E$3+'条件'!$G$9)</f>
        <v>4.502779972930188</v>
      </c>
      <c r="Y37" s="66">
        <f>($E$3*$B$12*SIN($W37*PI()/180))/($E$3+'条件'!$G$9)</f>
        <v>0.3245153384779266</v>
      </c>
      <c r="AA37" s="16">
        <v>160</v>
      </c>
      <c r="AB37" s="68">
        <f>($X37*($E$3+'条件'!$G$9))/'条件'!$G$12</f>
        <v>12185.245680905327</v>
      </c>
      <c r="AC37" s="66">
        <f>$E$3+'条件'!$G$9-$AB37-$AD37</f>
        <v>-1939.938837047097</v>
      </c>
      <c r="AD37" s="66">
        <f>(('条件'!$G$14/2-$Y37)*($E$3+'条件'!$G$9)+AB37*('条件'!$G$14-'条件'!$G$13)/2)/'条件'!$G$14</f>
        <v>8291.89315614177</v>
      </c>
      <c r="AF37" s="16">
        <v>160</v>
      </c>
      <c r="AG37" s="68">
        <f>$E$3+'条件'!$G$9-$AH37-$AI37</f>
        <v>3822.065788394648</v>
      </c>
      <c r="AH37" s="66">
        <f>('条件'!$G$12-$X37)*($E$3+'条件'!$G$9)/'条件'!$G$12</f>
        <v>6351.954319094673</v>
      </c>
      <c r="AI37" s="66">
        <f>(('条件'!$G$13/2-$Y37)*($E$3+'条件'!$G$9)-AH37*('条件'!$G$13-'条件'!$G$14)/2)/'条件'!$G$13</f>
        <v>8363.17989251068</v>
      </c>
    </row>
    <row r="38" spans="2:35" ht="18" customHeight="1">
      <c r="B38" s="195"/>
      <c r="C38" s="27" t="s">
        <v>70</v>
      </c>
      <c r="D38" s="26"/>
      <c r="E38" s="26"/>
      <c r="F38" s="26"/>
      <c r="G38" s="26"/>
      <c r="H38" s="26"/>
      <c r="I38" s="26"/>
      <c r="J38" s="26"/>
      <c r="K38" s="26"/>
      <c r="L38" s="31"/>
      <c r="N38" s="16">
        <v>165</v>
      </c>
      <c r="O38" s="65">
        <f>('条件'!$G$9*('条件'!$G$10-'条件'!$G$11+'条件'!$G$12/2)+$E$3*($B$12*COS($N38*PI()/180)-'条件'!$G$11+'条件'!$G$12/2))/(2*'条件'!$G$12)</f>
        <v>-1492.001785098454</v>
      </c>
      <c r="P38" s="66">
        <f>($E$3*$B$12*SIN($N38*PI()/180))/('条件'!$G$13+'条件'!$G$14)</f>
        <v>323.54136468670913</v>
      </c>
      <c r="Q38" s="66">
        <f>P38*(('条件'!$G$14-'条件'!$G$13)/('条件'!$G$14+'条件'!$G$13))/2</f>
        <v>-1.4946829214382429</v>
      </c>
      <c r="R38" s="66">
        <f>$E$16-$O38+$P38*2*('条件'!$G$13/('条件'!$G$14+'条件'!$G$13))-Q38</f>
        <v>6454.327198549478</v>
      </c>
      <c r="S38" s="65">
        <f>$E$16+$O38+$P38*2*('条件'!$G$14/('条件'!$G$14+'条件'!$G$13))+Q38</f>
        <v>3461.3555308239406</v>
      </c>
      <c r="T38" s="66">
        <f>$E$16+$O38-$P38*2*('条件'!$G$14/('条件'!$G$14+'条件'!$G$13))+Q38</f>
        <v>2820.251533136275</v>
      </c>
      <c r="U38" s="66">
        <f>$E$16-$O38-$P38*2*('条件'!$G$13/('条件'!$G$14+'条件'!$G$13))-Q38</f>
        <v>5801.265737490307</v>
      </c>
      <c r="V38" s="65"/>
      <c r="W38" s="16">
        <v>165</v>
      </c>
      <c r="X38" s="68">
        <f>'条件'!$G$11-($E$3*$B$12*COS($W38*PI()/180))/($E$3+'条件'!$G$9)-'条件'!$G$9*'条件'!$G$10/($E$3+'条件'!$G$9)</f>
        <v>4.527670546568458</v>
      </c>
      <c r="Y38" s="66">
        <f>($E$3*$B$12*SIN($W38*PI()/180))/($E$3+'条件'!$G$9)</f>
        <v>0.24557252449895334</v>
      </c>
      <c r="AA38" s="16">
        <v>165</v>
      </c>
      <c r="AB38" s="68">
        <f>($X38*($E$3+'条件'!$G$9))/'条件'!$G$12</f>
        <v>12252.603570196909</v>
      </c>
      <c r="AC38" s="66">
        <f>$E$3+'条件'!$G$9-$AB38-$AD38</f>
        <v>-2216.622475045575</v>
      </c>
      <c r="AD38" s="66">
        <f>(('条件'!$G$14/2-$Y38)*($E$3+'条件'!$G$9)+AB38*('条件'!$G$14-'条件'!$G$13)/2)/'条件'!$G$14</f>
        <v>8501.218904848667</v>
      </c>
      <c r="AF38" s="16">
        <v>165</v>
      </c>
      <c r="AG38" s="68">
        <f>$E$3+'条件'!$G$9-$AH38-$AI38</f>
        <v>3682.6973404897526</v>
      </c>
      <c r="AH38" s="66">
        <f>('条件'!$G$12-$X38)*($E$3+'条件'!$G$9)/'条件'!$G$12</f>
        <v>6284.596429803093</v>
      </c>
      <c r="AI38" s="66">
        <f>(('条件'!$G$13/2-$Y38)*($E$3+'条件'!$G$9)-AH38*('条件'!$G$13-'条件'!$G$14)/2)/'条件'!$G$13</f>
        <v>8569.906229707156</v>
      </c>
    </row>
    <row r="39" spans="2:35" ht="18" customHeight="1">
      <c r="B39" s="78" t="s">
        <v>181</v>
      </c>
      <c r="C39" s="26" t="s">
        <v>69</v>
      </c>
      <c r="D39" s="26"/>
      <c r="E39" s="26"/>
      <c r="F39" s="26"/>
      <c r="G39" s="27"/>
      <c r="H39" s="26"/>
      <c r="I39" s="26"/>
      <c r="J39" s="26"/>
      <c r="K39" s="26"/>
      <c r="L39" s="31"/>
      <c r="N39" s="16">
        <v>170</v>
      </c>
      <c r="O39" s="65">
        <f>('条件'!$G$9*('条件'!$G$10-'条件'!$G$11+'条件'!$G$12/2)+$E$3*($B$12*COS($N39*PI()/180)-'条件'!$G$11+'条件'!$G$12/2))/(2*'条件'!$G$12)</f>
        <v>-1516.2429463563833</v>
      </c>
      <c r="P39" s="66">
        <f>($E$3*$B$12*SIN($N39*PI()/180))/('条件'!$G$13+'条件'!$G$14)</f>
        <v>217.072002392499</v>
      </c>
      <c r="Q39" s="66">
        <f>P39*(('条件'!$G$14-'条件'!$G$13)/('条件'!$G$14+'条件'!$G$13))/2</f>
        <v>-1.0028201958431004</v>
      </c>
      <c r="R39" s="66">
        <f>$E$16-$O39+$P39*2*('条件'!$G$13/('条件'!$G$14+'条件'!$G$13))-Q39</f>
        <v>6370.623409336412</v>
      </c>
      <c r="S39" s="65">
        <f>$E$16+$O39+$P39*2*('条件'!$G$14/('条件'!$G$14+'条件'!$G$13))+Q39</f>
        <v>3332.1205954485868</v>
      </c>
      <c r="T39" s="66">
        <f>$E$16+$O39-$P39*2*('条件'!$G$14/('条件'!$G$14+'条件'!$G$13))+Q39</f>
        <v>2901.9878714469614</v>
      </c>
      <c r="U39" s="66">
        <f>$E$16-$O39-$P39*2*('条件'!$G$13/('条件'!$G$14+'条件'!$G$13))-Q39</f>
        <v>5932.468123768041</v>
      </c>
      <c r="V39" s="65"/>
      <c r="W39" s="16">
        <v>170</v>
      </c>
      <c r="X39" s="68">
        <f>'条件'!$G$11-($E$3*$B$12*COS($W39*PI()/180))/($E$3+'条件'!$G$9)-'条件'!$G$9*'条件'!$G$10/($E$3+'条件'!$G$9)</f>
        <v>4.545586084472436</v>
      </c>
      <c r="Y39" s="66">
        <f>($E$3*$B$12*SIN($W39*PI()/180))/($E$3+'条件'!$G$9)</f>
        <v>0.16476075532779821</v>
      </c>
      <c r="AA39" s="16">
        <v>170</v>
      </c>
      <c r="AB39" s="68">
        <f>($X39*($E$3+'条件'!$G$9))/'条件'!$G$12</f>
        <v>12301.085892712767</v>
      </c>
      <c r="AC39" s="66">
        <f>$E$3+'条件'!$G$9-$AB39-$AD39</f>
        <v>-2479.5771901749176</v>
      </c>
      <c r="AD39" s="66">
        <f>(('条件'!$G$14/2-$Y39)*($E$3+'条件'!$G$9)+AB39*('条件'!$G$14-'条件'!$G$13)/2)/'条件'!$G$14</f>
        <v>8715.691297462152</v>
      </c>
      <c r="AF39" s="16">
        <v>170</v>
      </c>
      <c r="AG39" s="68">
        <f>$E$3+'条件'!$G$9-$AH39-$AI39</f>
        <v>3519.746525196728</v>
      </c>
      <c r="AH39" s="66">
        <f>('条件'!$G$12-$X39)*($E$3+'条件'!$G$9)/'条件'!$G$12</f>
        <v>6236.114107287233</v>
      </c>
      <c r="AI39" s="66">
        <f>(('条件'!$G$13/2-$Y39)*($E$3+'条件'!$G$9)-AH39*('条件'!$G$13-'条件'!$G$14)/2)/'条件'!$G$13</f>
        <v>8781.339367516039</v>
      </c>
    </row>
    <row r="40" spans="2:35" ht="18" customHeight="1">
      <c r="B40" s="195" t="s">
        <v>182</v>
      </c>
      <c r="C40" s="26" t="s">
        <v>183</v>
      </c>
      <c r="D40" s="26"/>
      <c r="E40" s="26"/>
      <c r="F40" s="26"/>
      <c r="G40" s="26"/>
      <c r="H40" s="26"/>
      <c r="I40" s="26"/>
      <c r="J40" s="26"/>
      <c r="K40" s="26"/>
      <c r="L40" s="31"/>
      <c r="N40" s="16">
        <v>175</v>
      </c>
      <c r="O40" s="65">
        <f>('条件'!$G$9*('条件'!$G$10-'条件'!$G$11+'条件'!$G$12/2)+$E$3*($B$12*COS($N40*PI()/180)-'条件'!$G$11+'条件'!$G$12/2))/(2*'条件'!$G$12)</f>
        <v>-1530.861834352065</v>
      </c>
      <c r="P40" s="66">
        <f>($E$3*$B$12*SIN($N40*PI()/180))/('条件'!$G$13+'条件'!$G$14)</f>
        <v>108.95059108842436</v>
      </c>
      <c r="Q40" s="66">
        <f>P40*(('条件'!$G$14-'条件'!$G$13)/('条件'!$G$14+'条件'!$G$13))/2</f>
        <v>-0.5033254030382074</v>
      </c>
      <c r="R40" s="66">
        <f>$E$16-$O40+$P40*2*('条件'!$G$13/('条件'!$G$14+'条件'!$G$13))-Q40</f>
        <v>6275.622401649604</v>
      </c>
      <c r="S40" s="65">
        <f>$E$16+$O40+$P40*2*('条件'!$G$14/('条件'!$G$14+'条件'!$G$13))+Q40</f>
        <v>3210.878780527245</v>
      </c>
      <c r="T40" s="66">
        <f>$E$16+$O40-$P40*2*('条件'!$G$14/('条件'!$G$14+'条件'!$G$13))+Q40</f>
        <v>2994.9908999625495</v>
      </c>
      <c r="U40" s="66">
        <f>$E$16-$O40-$P40*2*('条件'!$G$13/('条件'!$G$14+'条件'!$G$13))-Q40</f>
        <v>6055.707917860603</v>
      </c>
      <c r="V40" s="65"/>
      <c r="W40" s="16">
        <v>175</v>
      </c>
      <c r="X40" s="68">
        <f>'条件'!$G$11-($E$3*$B$12*COS($W40*PI()/180))/($E$3+'条件'!$G$9)-'条件'!$G$9*'条件'!$G$10/($E$3+'条件'!$G$9)</f>
        <v>4.556390238580977</v>
      </c>
      <c r="Y40" s="66">
        <f>($E$3*$B$12*SIN($W40*PI()/180))/($E$3+'条件'!$G$9)</f>
        <v>0.08269505732333528</v>
      </c>
      <c r="AA40" s="16">
        <v>175</v>
      </c>
      <c r="AB40" s="68">
        <f>($X40*($E$3+'条件'!$G$9))/'条件'!$G$12</f>
        <v>12330.323668704128</v>
      </c>
      <c r="AC40" s="66">
        <f>$E$3+'条件'!$G$9-$AB40-$AD40</f>
        <v>-2726.8017382765956</v>
      </c>
      <c r="AD40" s="66">
        <f>(('条件'!$G$14/2-$Y40)*($E$3+'条件'!$G$9)+AB40*('条件'!$G$14-'条件'!$G$13)/2)/'条件'!$G$14</f>
        <v>8933.678069572468</v>
      </c>
      <c r="AF40" s="16">
        <v>175</v>
      </c>
      <c r="AG40" s="68">
        <f>$E$3+'条件'!$G$9-$AH40-$AI40</f>
        <v>3334.45349661235</v>
      </c>
      <c r="AH40" s="66">
        <f>('条件'!$G$12-$X40)*($E$3+'条件'!$G$9)/'条件'!$G$12</f>
        <v>6206.876331295871</v>
      </c>
      <c r="AI40" s="66">
        <f>(('条件'!$G$13/2-$Y40)*($E$3+'条件'!$G$9)-AH40*('条件'!$G$13-'条件'!$G$14)/2)/'条件'!$G$13</f>
        <v>8995.87017209178</v>
      </c>
    </row>
    <row r="41" spans="2:35" ht="18" customHeight="1">
      <c r="B41" s="195"/>
      <c r="C41" s="169" t="s">
        <v>166</v>
      </c>
      <c r="D41" s="169"/>
      <c r="E41" s="26"/>
      <c r="F41" s="26"/>
      <c r="G41" s="26"/>
      <c r="H41" s="26"/>
      <c r="I41" s="26"/>
      <c r="J41" s="26"/>
      <c r="K41" s="26"/>
      <c r="L41" s="31"/>
      <c r="N41" s="79">
        <v>180</v>
      </c>
      <c r="O41" s="80">
        <f>('条件'!$G$9*('条件'!$G$10-'条件'!$G$11+'条件'!$G$12/2)+$E$3*($B$12*COS($N41*PI()/180)-'条件'!$G$11+'条件'!$G$12/2))/(2*'条件'!$G$12)</f>
        <v>-1535.747190520726</v>
      </c>
      <c r="P41" s="81">
        <f>($E$3*$B$12*SIN($N41*PI()/180))/('条件'!$G$13+'条件'!$G$14)</f>
        <v>1.53151868282311E-13</v>
      </c>
      <c r="Q41" s="66">
        <f>P41*(('条件'!$G$14-'条件'!$G$13)/('条件'!$G$14+'条件'!$G$13))/2</f>
        <v>-7.075246224840233E-16</v>
      </c>
      <c r="R41" s="81">
        <f>$E$16-$O41+$P41*2*('条件'!$G$13/('条件'!$G$14+'条件'!$G$13))-Q41</f>
        <v>6170.047190520726</v>
      </c>
      <c r="S41" s="80">
        <f>$E$16+$O41+$P41*2*('条件'!$G$14/('条件'!$G$14+'条件'!$G$13))+Q41</f>
        <v>3098.5528094792744</v>
      </c>
      <c r="T41" s="81">
        <f>$E$16+$O41-$P41*2*('条件'!$G$14/('条件'!$G$14+'条件'!$G$13))+Q41</f>
        <v>3098.5528094792744</v>
      </c>
      <c r="U41" s="81">
        <f>$E$16-$O41-$P41*2*('条件'!$G$13/('条件'!$G$14+'条件'!$G$13))-Q41</f>
        <v>6170.047190520726</v>
      </c>
      <c r="V41" s="65"/>
      <c r="W41" s="79">
        <v>180</v>
      </c>
      <c r="X41" s="82">
        <f>'条件'!$G$11-($E$3*$B$12*COS($W41*PI()/180))/($E$3+'条件'!$G$9)-'条件'!$G$9*'条件'!$G$10/($E$3+'条件'!$G$9)</f>
        <v>4.560000782757587</v>
      </c>
      <c r="Y41" s="81">
        <f>($E$3*$B$12*SIN($W41*PI()/180))/($E$3+'条件'!$G$9)</f>
        <v>1.162444590732212E-16</v>
      </c>
      <c r="AA41" s="79">
        <v>180</v>
      </c>
      <c r="AB41" s="82">
        <f>($X41*($E$3+'条件'!$G$9))/'条件'!$G$12</f>
        <v>12340.094381041454</v>
      </c>
      <c r="AC41" s="81">
        <f>$E$3+'条件'!$G$9-$AB41-$AD41</f>
        <v>-2956.4145912612967</v>
      </c>
      <c r="AD41" s="81">
        <f>(('条件'!$G$14/2-$Y41)*($E$3+'条件'!$G$9)+AB41*('条件'!$G$14-'条件'!$G$13)/2)/'条件'!$G$14</f>
        <v>9153.520210219844</v>
      </c>
      <c r="AF41" s="79">
        <v>180</v>
      </c>
      <c r="AG41" s="82">
        <f>$E$3+'条件'!$G$9-$AH41-$AI41</f>
        <v>3128.228446567131</v>
      </c>
      <c r="AH41" s="81">
        <f>('条件'!$G$12-$X41)*($E$3+'条件'!$G$9)/'条件'!$G$12</f>
        <v>6197.105618958548</v>
      </c>
      <c r="AI41" s="81">
        <f>(('条件'!$G$13/2-$Y41)*($E$3+'条件'!$G$9)-AH41*('条件'!$G$13-'条件'!$G$14)/2)/'条件'!$G$13</f>
        <v>9211.865934474323</v>
      </c>
    </row>
    <row r="42" spans="2:25" ht="18" customHeight="1">
      <c r="B42" s="83" t="s">
        <v>184</v>
      </c>
      <c r="C42" s="74">
        <v>0</v>
      </c>
      <c r="D42" s="32"/>
      <c r="E42" s="32"/>
      <c r="F42" s="32"/>
      <c r="G42" s="74"/>
      <c r="H42" s="32"/>
      <c r="I42" s="32"/>
      <c r="J42" s="32"/>
      <c r="K42" s="32"/>
      <c r="L42" s="77"/>
      <c r="N42" s="27"/>
      <c r="O42" s="26"/>
      <c r="P42" s="84"/>
      <c r="Q42" s="84"/>
      <c r="R42" s="85"/>
      <c r="S42" s="85"/>
      <c r="T42" s="85"/>
      <c r="U42" s="85"/>
      <c r="V42" s="85"/>
      <c r="W42" s="85"/>
      <c r="X42" s="85"/>
      <c r="Y42" s="85"/>
    </row>
    <row r="43" ht="18" customHeight="1">
      <c r="O43" s="85"/>
    </row>
    <row r="44" spans="1:12" ht="18" customHeight="1">
      <c r="A44" s="58" t="s">
        <v>123</v>
      </c>
      <c r="B44" s="71" t="s">
        <v>185</v>
      </c>
      <c r="C44" s="72"/>
      <c r="D44" s="72"/>
      <c r="E44" s="72"/>
      <c r="F44" s="72"/>
      <c r="G44" s="72"/>
      <c r="H44" s="72"/>
      <c r="I44" s="72"/>
      <c r="J44" s="72"/>
      <c r="K44" s="72"/>
      <c r="L44" s="73"/>
    </row>
    <row r="45" spans="2:12" ht="18" customHeight="1">
      <c r="B45" s="78" t="s">
        <v>179</v>
      </c>
      <c r="C45" s="26" t="s">
        <v>71</v>
      </c>
      <c r="D45" s="26"/>
      <c r="E45" s="26"/>
      <c r="F45" s="26"/>
      <c r="G45" s="27"/>
      <c r="H45" s="26"/>
      <c r="I45" s="26"/>
      <c r="J45" s="26"/>
      <c r="K45" s="26"/>
      <c r="L45" s="31"/>
    </row>
    <row r="46" spans="2:12" ht="18" customHeight="1">
      <c r="B46" s="195" t="s">
        <v>181</v>
      </c>
      <c r="C46" s="26" t="s">
        <v>186</v>
      </c>
      <c r="D46" s="26"/>
      <c r="E46" s="26"/>
      <c r="F46" s="26"/>
      <c r="G46" s="26"/>
      <c r="H46" s="26"/>
      <c r="I46" s="26"/>
      <c r="J46" s="26"/>
      <c r="K46" s="26"/>
      <c r="L46" s="31"/>
    </row>
    <row r="47" spans="2:12" ht="18" customHeight="1">
      <c r="B47" s="195"/>
      <c r="C47" s="10" t="s">
        <v>70</v>
      </c>
      <c r="D47" s="26"/>
      <c r="E47" s="26"/>
      <c r="F47" s="26"/>
      <c r="G47" s="26"/>
      <c r="H47" s="26"/>
      <c r="I47" s="26"/>
      <c r="J47" s="26"/>
      <c r="K47" s="26"/>
      <c r="L47" s="31"/>
    </row>
    <row r="48" spans="2:12" ht="18" customHeight="1">
      <c r="B48" s="78" t="s">
        <v>182</v>
      </c>
      <c r="C48" s="27">
        <v>0</v>
      </c>
      <c r="D48" s="26"/>
      <c r="E48" s="26"/>
      <c r="F48" s="26"/>
      <c r="G48" s="27"/>
      <c r="H48" s="26"/>
      <c r="I48" s="26"/>
      <c r="J48" s="26"/>
      <c r="K48" s="26"/>
      <c r="L48" s="31"/>
    </row>
    <row r="49" spans="2:12" ht="18" customHeight="1">
      <c r="B49" s="195" t="s">
        <v>184</v>
      </c>
      <c r="C49" s="26" t="s">
        <v>183</v>
      </c>
      <c r="D49" s="26"/>
      <c r="E49" s="26"/>
      <c r="F49" s="26"/>
      <c r="G49" s="26"/>
      <c r="H49" s="26"/>
      <c r="I49" s="26"/>
      <c r="J49" s="26"/>
      <c r="K49" s="26"/>
      <c r="L49" s="31"/>
    </row>
    <row r="50" spans="2:12" ht="18" customHeight="1">
      <c r="B50" s="196"/>
      <c r="C50" s="194" t="s">
        <v>166</v>
      </c>
      <c r="D50" s="194"/>
      <c r="E50" s="32"/>
      <c r="F50" s="32"/>
      <c r="G50" s="32"/>
      <c r="H50" s="32"/>
      <c r="I50" s="32"/>
      <c r="J50" s="32"/>
      <c r="K50" s="32"/>
      <c r="L50" s="77"/>
    </row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</sheetData>
  <sheetProtection password="AB2D" sheet="1" formatCells="0" formatColumns="0" formatRows="0" insertColumns="0" insertRows="0" insertHyperlinks="0" deleteColumns="0" deleteRows="0" sort="0" autoFilter="0" pivotTables="0"/>
  <mergeCells count="24">
    <mergeCell ref="A10:A11"/>
    <mergeCell ref="E16:E17"/>
    <mergeCell ref="B16:B17"/>
    <mergeCell ref="D16:D17"/>
    <mergeCell ref="C41:D41"/>
    <mergeCell ref="C50:D50"/>
    <mergeCell ref="B37:B38"/>
    <mergeCell ref="B40:B41"/>
    <mergeCell ref="B46:B47"/>
    <mergeCell ref="B49:B50"/>
    <mergeCell ref="B33:B34"/>
    <mergeCell ref="B22:B23"/>
    <mergeCell ref="C23:D23"/>
    <mergeCell ref="C22:D22"/>
    <mergeCell ref="B31:B32"/>
    <mergeCell ref="B20:B21"/>
    <mergeCell ref="C20:D20"/>
    <mergeCell ref="C21:D21"/>
    <mergeCell ref="E18:E19"/>
    <mergeCell ref="B18:B19"/>
    <mergeCell ref="C19:D19"/>
    <mergeCell ref="C18:D18"/>
    <mergeCell ref="F19:H19"/>
    <mergeCell ref="F18:H18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geOrder="overThenDown" paperSize="9" scale="50" r:id="rId2"/>
  <colBreaks count="1" manualBreakCount="1">
    <brk id="13" max="4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佐倉工場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河南斯派特机械设备有限公司</dc:creator>
  <cp:keywords/>
  <dc:description/>
  <cp:lastModifiedBy>Taynova.N</cp:lastModifiedBy>
  <cp:lastPrinted>2022-07-21T06:19:40Z</cp:lastPrinted>
  <dcterms:created xsi:type="dcterms:W3CDTF">1999-03-27T03:05:29Z</dcterms:created>
  <dcterms:modified xsi:type="dcterms:W3CDTF">2023-11-10T06:39:51Z</dcterms:modified>
  <cp:category/>
  <cp:version/>
  <cp:contentType/>
  <cp:contentStatus/>
</cp:coreProperties>
</file>